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ME" sheetId="1" state="visible" r:id="rId1"/>
    <sheet xmlns:r="http://schemas.openxmlformats.org/officeDocument/2006/relationships" name="Assumptions" sheetId="2" state="visible" r:id="rId2"/>
    <sheet xmlns:r="http://schemas.openxmlformats.org/officeDocument/2006/relationships" name="Line1_Stones" sheetId="3" state="visible" r:id="rId3"/>
    <sheet xmlns:r="http://schemas.openxmlformats.org/officeDocument/2006/relationships" name="Line2_Soil" sheetId="4" state="visible" r:id="rId4"/>
    <sheet xmlns:r="http://schemas.openxmlformats.org/officeDocument/2006/relationships" name="Line3_Shelter" sheetId="5" state="visible" r:id="rId5"/>
    <sheet xmlns:r="http://schemas.openxmlformats.org/officeDocument/2006/relationships" name="Line4_Research" sheetId="6" state="visible" r:id="rId6"/>
    <sheet xmlns:r="http://schemas.openxmlformats.org/officeDocument/2006/relationships" name="Startup_Solid" sheetId="7" state="visible" r:id="rId7"/>
    <sheet xmlns:r="http://schemas.openxmlformats.org/officeDocument/2006/relationships" name="Startup_Dream" sheetId="8" state="visible" r:id="rId8"/>
    <sheet xmlns:r="http://schemas.openxmlformats.org/officeDocument/2006/relationships" name="P&amp;L_3yr" sheetId="9" state="visible" r:id="rId9"/>
    <sheet xmlns:r="http://schemas.openxmlformats.org/officeDocument/2006/relationships" name="Open_Research" sheetId="10" state="visible" r:id="rId10"/>
  </sheets>
  <definedNames/>
  <calcPr calcId="124519" fullCalcOnLoad="1"/>
</workbook>
</file>

<file path=xl/styles.xml><?xml version="1.0" encoding="utf-8"?>
<styleSheet xmlns="http://schemas.openxmlformats.org/spreadsheetml/2006/main">
  <numFmts count="3">
    <numFmt numFmtId="164" formatCode="$#,##0;($#,##0);-"/>
    <numFmt numFmtId="165" formatCode="#,##0;(#,##0);-"/>
    <numFmt numFmtId="166" formatCode="0.0%;(0.0%);-"/>
  </numFmts>
  <fonts count="12">
    <font>
      <name val="Calibri"/>
      <family val="2"/>
      <color theme="1"/>
      <sz val="11"/>
      <scheme val="minor"/>
    </font>
    <font>
      <name val="Arial"/>
      <b val="1"/>
      <color rgb="002C3E2D"/>
      <sz val="16"/>
    </font>
    <font>
      <name val="Arial"/>
      <i val="1"/>
      <color rgb="006B6458"/>
      <sz val="11"/>
    </font>
    <font>
      <name val="Arial"/>
      <color rgb="002C2A28"/>
      <sz val="10"/>
    </font>
    <font>
      <name val="Arial"/>
      <b val="1"/>
      <color rgb="002C3E2D"/>
      <sz val="11"/>
    </font>
    <font>
      <name val="Arial"/>
      <b val="1"/>
      <color rgb="00000000"/>
      <sz val="10"/>
    </font>
    <font>
      <name val="Arial"/>
      <color rgb="00000000"/>
      <sz val="10"/>
    </font>
    <font>
      <name val="Arial"/>
      <color rgb="000000FF"/>
      <sz val="10"/>
    </font>
    <font>
      <name val="Arial"/>
      <i val="1"/>
      <color rgb="006B6458"/>
      <sz val="9"/>
    </font>
    <font>
      <name val="Arial"/>
      <b val="1"/>
      <color rgb="00FFFFFF"/>
      <sz val="11"/>
    </font>
    <font>
      <name val="Arial"/>
      <color rgb="00006400"/>
      <sz val="10"/>
    </font>
    <font>
      <name val="Arial"/>
      <i val="1"/>
      <color rgb="006B6458"/>
      <sz val="10"/>
    </font>
  </fonts>
  <fills count="6">
    <fill>
      <patternFill/>
    </fill>
    <fill>
      <patternFill patternType="gray125"/>
    </fill>
    <fill>
      <patternFill patternType="solid">
        <fgColor rgb="00FFFFCC"/>
      </patternFill>
    </fill>
    <fill>
      <patternFill patternType="solid">
        <fgColor rgb="002C3E2D"/>
      </patternFill>
    </fill>
    <fill>
      <patternFill patternType="solid">
        <fgColor rgb="00E8E2D5"/>
      </patternFill>
    </fill>
    <fill>
      <patternFill patternType="solid">
        <fgColor rgb="00F5E6D3"/>
      </patternFill>
    </fill>
  </fills>
  <borders count="2">
    <border>
      <left/>
      <right/>
      <top/>
      <bottom/>
      <diagonal/>
    </border>
    <border>
      <left style="thin">
        <color rgb="00C9C2B1"/>
      </left>
      <right style="thin">
        <color rgb="00C9C2B1"/>
      </right>
      <top style="thin">
        <color rgb="00C9C2B1"/>
      </top>
      <bottom style="thin">
        <color rgb="00C9C2B1"/>
      </bottom>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horizontal="left" vertical="top" wrapText="1"/>
    </xf>
    <xf numFmtId="0" fontId="4" fillId="0" borderId="0" applyAlignment="1" pivotButton="0" quotePrefix="0" xfId="0">
      <alignment horizontal="left" vertical="top" wrapText="1"/>
    </xf>
    <xf numFmtId="0" fontId="5" fillId="0" borderId="0" pivotButton="0" quotePrefix="0" xfId="0"/>
    <xf numFmtId="0" fontId="6" fillId="0" borderId="0" pivotButton="0" quotePrefix="0" xfId="0"/>
    <xf numFmtId="164" fontId="7" fillId="0" borderId="0" applyAlignment="1" pivotButton="0" quotePrefix="0" xfId="0">
      <alignment horizontal="right" vertical="center" wrapText="1"/>
    </xf>
    <xf numFmtId="0" fontId="8" fillId="0" borderId="0" applyAlignment="1" pivotButton="0" quotePrefix="0" xfId="0">
      <alignment horizontal="left" vertical="center" wrapText="1"/>
    </xf>
    <xf numFmtId="164" fontId="7" fillId="2" borderId="0" applyAlignment="1" pivotButton="0" quotePrefix="0" xfId="0">
      <alignment horizontal="right" vertical="center" wrapText="1"/>
    </xf>
    <xf numFmtId="165" fontId="7" fillId="0" borderId="0" applyAlignment="1" pivotButton="0" quotePrefix="0" xfId="0">
      <alignment horizontal="right" vertical="center" wrapText="1"/>
    </xf>
    <xf numFmtId="166" fontId="7" fillId="0" borderId="0" applyAlignment="1" pivotButton="0" quotePrefix="0" xfId="0">
      <alignment horizontal="right" vertical="center" wrapText="1"/>
    </xf>
    <xf numFmtId="0" fontId="9" fillId="3" borderId="0" applyAlignment="1" pivotButton="0" quotePrefix="0" xfId="0">
      <alignment horizontal="center" vertical="center" wrapText="1"/>
    </xf>
    <xf numFmtId="0" fontId="6" fillId="0" borderId="1" pivotButton="0" quotePrefix="0" xfId="0"/>
    <xf numFmtId="164" fontId="10" fillId="0" borderId="1" pivotButton="0" quotePrefix="0" xfId="0"/>
    <xf numFmtId="164" fontId="6" fillId="0" borderId="1" pivotButton="0" quotePrefix="0" xfId="0"/>
    <xf numFmtId="166" fontId="6" fillId="0" borderId="1" pivotButton="0" quotePrefix="0" xfId="0"/>
    <xf numFmtId="0" fontId="8" fillId="0" borderId="1" pivotButton="0" quotePrefix="0" xfId="0"/>
    <xf numFmtId="164" fontId="6" fillId="0" borderId="0" pivotButton="0" quotePrefix="0" xfId="0"/>
    <xf numFmtId="0" fontId="8" fillId="0" borderId="0" pivotButton="0" quotePrefix="0" xfId="0"/>
    <xf numFmtId="164" fontId="10" fillId="0" borderId="0" pivotButton="0" quotePrefix="0" xfId="0"/>
    <xf numFmtId="166" fontId="6" fillId="0" borderId="0" pivotButton="0" quotePrefix="0" xfId="0"/>
    <xf numFmtId="164" fontId="5" fillId="4" borderId="0" pivotButton="0" quotePrefix="0" xfId="0"/>
    <xf numFmtId="0" fontId="8" fillId="5" borderId="0" applyAlignment="1" pivotButton="0" quotePrefix="0" xfId="0">
      <alignment horizontal="left" vertical="center" wrapText="1"/>
    </xf>
    <xf numFmtId="165" fontId="10" fillId="0" borderId="0" pivotButton="0" quotePrefix="0" xfId="0"/>
    <xf numFmtId="164" fontId="7" fillId="0" borderId="0" pivotButton="0" quotePrefix="0" xfId="0"/>
    <xf numFmtId="164" fontId="7" fillId="2" borderId="0" pivotButton="0" quotePrefix="0" xfId="0"/>
    <xf numFmtId="0" fontId="5" fillId="4" borderId="0" pivotButton="0" quotePrefix="0" xfId="0"/>
    <xf numFmtId="164" fontId="5" fillId="0" borderId="0" pivotButton="0" quotePrefix="0" xfId="0"/>
    <xf numFmtId="0" fontId="6" fillId="0" borderId="1" applyAlignment="1" pivotButton="0" quotePrefix="0" xfId="0">
      <alignment horizontal="left" vertical="top" wrapText="1"/>
    </xf>
    <xf numFmtId="0" fontId="11" fillId="0"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33"/>
  <sheetViews>
    <sheetView workbookViewId="0">
      <selection activeCell="A1" sqref="A1"/>
    </sheetView>
  </sheetViews>
  <sheetFormatPr baseColWidth="8" defaultRowHeight="15"/>
  <cols>
    <col width="2" customWidth="1" min="1" max="1"/>
    <col width="100" customWidth="1" min="2" max="2"/>
  </cols>
  <sheetData>
    <row r="2">
      <c r="B2" s="1" t="inlineStr">
        <is>
          <t>Legacy Soil &amp; Stone — Financial Model</t>
        </is>
      </c>
    </row>
    <row r="3">
      <c r="B3" s="2" t="inlineStr">
        <is>
          <t>Sunday Draft  ·  April 12, 2026  ·  companion to the Master Proposal</t>
        </is>
      </c>
    </row>
    <row r="5" ht="16" customHeight="1">
      <c r="B5" s="3" t="inlineStr"/>
    </row>
    <row r="6" ht="16" customHeight="1">
      <c r="B6" s="4" t="inlineStr">
        <is>
          <t>WHAT THIS IS</t>
        </is>
      </c>
    </row>
    <row r="7" ht="28" customHeight="1">
      <c r="B7" s="3" t="inlineStr">
        <is>
          <t>This workbook is the financial companion to the Master Proposal. The Master Proposal explains what the business does and why. This workbook carries the pricing, the unit economics, the startup capital, and the three-year projections.</t>
        </is>
      </c>
    </row>
    <row r="8" ht="16" customHeight="1">
      <c r="B8" s="3" t="inlineStr"/>
    </row>
    <row r="9" ht="16" customHeight="1">
      <c r="B9" s="4" t="inlineStr">
        <is>
          <t>STATUS</t>
        </is>
      </c>
    </row>
    <row r="10" ht="28" customHeight="1">
      <c r="B10" s="3" t="inlineStr">
        <is>
          <t>Every number in this workbook is a CONSERVATIVE PLACEHOLDER. The structure is stable; the values are not. Anything highlighted pale yellow is flagged for research — we do not yet have a reliable local North Georgia cost input.</t>
        </is>
      </c>
    </row>
    <row r="11" ht="16" customHeight="1">
      <c r="B11" s="3" t="inlineStr"/>
    </row>
    <row r="12" ht="16" customHeight="1">
      <c r="B12" s="4" t="inlineStr">
        <is>
          <t>COLOR CONVENTIONS</t>
        </is>
      </c>
    </row>
    <row r="13" ht="16" customHeight="1">
      <c r="B13" s="3" t="inlineStr">
        <is>
          <t>Blue text     = hardcoded input (change these to run scenarios)</t>
        </is>
      </c>
    </row>
    <row r="14" ht="16" customHeight="1">
      <c r="B14" s="3" t="inlineStr">
        <is>
          <t>Black text    = formula / calculation</t>
        </is>
      </c>
    </row>
    <row r="15" ht="16" customHeight="1">
      <c r="B15" s="3" t="inlineStr">
        <is>
          <t>Green text    = link to another sheet in this workbook</t>
        </is>
      </c>
    </row>
    <row r="16" ht="16" customHeight="1">
      <c r="B16" s="3" t="inlineStr">
        <is>
          <t>Yellow fill   = assumption needs research / pricing still open</t>
        </is>
      </c>
    </row>
    <row r="17" ht="16" customHeight="1">
      <c r="B17" s="3" t="inlineStr"/>
    </row>
    <row r="18" ht="16" customHeight="1">
      <c r="B18" s="4" t="inlineStr">
        <is>
          <t>SHEETS</t>
        </is>
      </c>
    </row>
    <row r="19" ht="16" customHeight="1">
      <c r="B19" s="3" t="inlineStr">
        <is>
          <t>1. Assumptions         Master list of inputs and flags</t>
        </is>
      </c>
    </row>
    <row r="20" ht="16" customHeight="1">
      <c r="B20" s="3" t="inlineStr">
        <is>
          <t>2. Line1_Stones        Unit economics for marbled memorial stones</t>
        </is>
      </c>
    </row>
    <row r="21" ht="16" customHeight="1">
      <c r="B21" s="3" t="inlineStr">
        <is>
          <t>3. Line2_Soil          Unit economics for private NOR memorial soil</t>
        </is>
      </c>
    </row>
    <row r="22" ht="16" customHeight="1">
      <c r="B22" s="3" t="inlineStr">
        <is>
          <t>4. Line3_Shelter       Shelter intake + community soil (revenue line)</t>
        </is>
      </c>
    </row>
    <row r="23" ht="16" customHeight="1">
      <c r="B23" s="3" t="inlineStr">
        <is>
          <t>5. Line4_Research      Academic research partnerships</t>
        </is>
      </c>
    </row>
    <row r="24" ht="16" customHeight="1">
      <c r="B24" s="3" t="inlineStr">
        <is>
          <t>6. Startup_Solid       Startup capital — Solid facility path</t>
        </is>
      </c>
    </row>
    <row r="25" ht="16" customHeight="1">
      <c r="B25" s="3" t="inlineStr">
        <is>
          <t>7. Startup_Dream       Startup capital — Dream facility path</t>
        </is>
      </c>
    </row>
    <row r="26" ht="16" customHeight="1">
      <c r="B26" s="3" t="inlineStr">
        <is>
          <t>8. P&amp;L_3yr             Three-year profit and loss across all four lines</t>
        </is>
      </c>
    </row>
    <row r="27" ht="16" customHeight="1">
      <c r="B27" s="3" t="inlineStr">
        <is>
          <t>9. Open_Research       Cost inputs that still need local North Georgia pricing</t>
        </is>
      </c>
    </row>
    <row r="28" ht="16" customHeight="1">
      <c r="B28" s="3" t="inlineStr"/>
    </row>
    <row r="29" ht="16" customHeight="1">
      <c r="B29" s="4" t="inlineStr">
        <is>
          <t>HOW TO USE THIS</t>
        </is>
      </c>
    </row>
    <row r="30" ht="28" customHeight="1">
      <c r="B30" s="3" t="inlineStr">
        <is>
          <t>Start on Assumptions. Change any blue input to see its effect flow through the model. Do not change black or green cells — they are formulas. Every sheet refers back to Assumptions so that a single change propagates through the whole model.</t>
        </is>
      </c>
    </row>
    <row r="31" ht="16" customHeight="1">
      <c r="B31" s="3" t="inlineStr"/>
    </row>
    <row r="32" ht="16" customHeight="1">
      <c r="B32" s="4" t="inlineStr">
        <is>
          <t>WHAT THIS MODEL IS NOT</t>
        </is>
      </c>
    </row>
    <row r="33" ht="28" customHeight="1">
      <c r="B33" s="3" t="inlineStr">
        <is>
          <t>It is not a forecast we stand behind as accurate. It is a structured way to see where the business's money comes from and goes. When we have real first-quarter actuals, the hardcoded inputs will get replaced with observed values and the model will become predictive instead of exploratory.</t>
        </is>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B2:D27"/>
  <sheetViews>
    <sheetView workbookViewId="0">
      <selection activeCell="A1" sqref="A1"/>
    </sheetView>
  </sheetViews>
  <sheetFormatPr baseColWidth="8" defaultRowHeight="15"/>
  <cols>
    <col width="3" customWidth="1" min="1" max="1"/>
    <col width="44" customWidth="1" min="2" max="2"/>
    <col width="14" customWidth="1" min="3" max="3"/>
    <col width="60" customWidth="1" min="4" max="4"/>
  </cols>
  <sheetData>
    <row r="2">
      <c r="B2" s="1" t="inlineStr">
        <is>
          <t>Open Research Items — Cost Inputs Needing Local Pricing</t>
        </is>
      </c>
    </row>
    <row r="3">
      <c r="B3" s="2" t="inlineStr">
        <is>
          <t>These are the values in the model that we cannot yet source with confidence.</t>
        </is>
      </c>
    </row>
    <row r="5">
      <c r="B5" s="12" t="inlineStr">
        <is>
          <t>Input</t>
        </is>
      </c>
      <c r="C5" s="12" t="inlineStr">
        <is>
          <t>Current placeholder</t>
        </is>
      </c>
      <c r="D5" s="12" t="inlineStr">
        <is>
          <t>What we need to learn</t>
        </is>
      </c>
    </row>
    <row r="6" ht="32" customHeight="1">
      <c r="B6" s="29" t="inlineStr">
        <is>
          <t>Wood chips, sawdust, straw pricing</t>
        </is>
      </c>
      <c r="C6" s="30" t="inlineStr">
        <is>
          <t>Bundled in supplies $350/mo</t>
        </is>
      </c>
      <c r="D6" s="29" t="inlineStr">
        <is>
          <t>Local bulk pricing from tree services, sawmills, and feed stores. Whether 'free from arborists' is real or anecdotal at Line 3 volumes.</t>
        </is>
      </c>
    </row>
    <row r="7" ht="32" customHeight="1">
      <c r="B7" s="29" t="inlineStr">
        <is>
          <t>Alfalfa / carbon bulking at mass scale</t>
        </is>
      </c>
      <c r="C7" s="30" t="inlineStr">
        <is>
          <t>Not separated</t>
        </is>
      </c>
      <c r="D7" s="29" t="inlineStr">
        <is>
          <t>Local feed/farm store pricing by bale or ton — matters more at shelter volumes.</t>
        </is>
      </c>
    </row>
    <row r="8" ht="32" customHeight="1">
      <c r="B8" s="29" t="inlineStr">
        <is>
          <t>Commercial composter (Line 2)</t>
        </is>
      </c>
      <c r="C8" s="30" t="inlineStr">
        <is>
          <t>$4,200 placeholder</t>
        </is>
      </c>
      <c r="D8" s="29" t="inlineStr">
        <is>
          <t>Specific brand, model, capacity, and delivered price for an insulated small-animal thermophilic unit.</t>
        </is>
      </c>
    </row>
    <row r="9" ht="32" customHeight="1">
      <c r="B9" s="29" t="inlineStr">
        <is>
          <t>Mass composting bay (Line 3)</t>
        </is>
      </c>
      <c r="C9" s="30" t="inlineStr">
        <is>
          <t>$3,800 pilot placeholder</t>
        </is>
      </c>
      <c r="D9" s="29" t="inlineStr">
        <is>
          <t>Walls, airflow, cover, and instrumentation for a starter windrow or bay serving 20-60 animals/mo.</t>
        </is>
      </c>
    </row>
    <row r="10" ht="32" customHeight="1">
      <c r="B10" s="29" t="inlineStr">
        <is>
          <t>Laboratory pan granulator (bench)</t>
        </is>
      </c>
      <c r="C10" s="30" t="inlineStr">
        <is>
          <t>$1,200 (researched)</t>
        </is>
      </c>
      <c r="D10" s="29" t="inlineStr">
        <is>
          <t>Bench-scale tilted-disc unit confirmed at $1,000–$1,350. Validate throughput vs. cremains volume.</t>
        </is>
      </c>
    </row>
    <row r="11" ht="32" customHeight="1">
      <c r="B11" s="29" t="inlineStr">
        <is>
          <t>Pan granulator (production)</t>
        </is>
      </c>
      <c r="C11" s="30" t="inlineStr">
        <is>
          <t>$5,000 estimate</t>
        </is>
      </c>
      <c r="D11" s="29" t="inlineStr">
        <is>
          <t>Production-grade scaled from bench. Needs vendor quote for throughput and power.</t>
        </is>
      </c>
    </row>
    <row r="12" ht="32" customHeight="1">
      <c r="B12" s="29" t="inlineStr">
        <is>
          <t>Sodium silicate binder</t>
        </is>
      </c>
      <c r="C12" s="30" t="inlineStr">
        <is>
          <t>$300 initial supply</t>
        </is>
      </c>
      <c r="D12" s="29" t="inlineStr">
        <is>
          <t>Gallon/drum pricing from chemical suppliers, shelf life, safe storage.</t>
        </is>
      </c>
    </row>
    <row r="13" ht="32" customHeight="1">
      <c r="B13" s="29" t="inlineStr">
        <is>
          <t>Cement mix and additives (Line 1)</t>
        </is>
      </c>
      <c r="C13" s="30" t="inlineStr">
        <is>
          <t>Bundled in COGS</t>
        </is>
      </c>
      <c r="D13" s="29" t="inlineStr">
        <is>
          <t>Cement brand, mix design ratios, additive costs for optimal Marble-aggregate mix.</t>
        </is>
      </c>
    </row>
    <row r="14" ht="32" customHeight="1">
      <c r="B14" s="29" t="inlineStr">
        <is>
          <t>Shelter intake fee ($/animal)</t>
        </is>
      </c>
      <c r="C14" s="30" t="inlineStr">
        <is>
          <t>$15/animal</t>
        </is>
      </c>
      <c r="D14" s="29" t="inlineStr">
        <is>
          <t>What a shelter is realistically willing to pay vs. landfill tipping fees in N. Georgia.</t>
        </is>
      </c>
    </row>
    <row r="15" ht="32" customHeight="1">
      <c r="B15" s="29" t="inlineStr">
        <is>
          <t>Community soil bag price</t>
        </is>
      </c>
      <c r="C15" s="30" t="inlineStr">
        <is>
          <t>$12/bag</t>
        </is>
      </c>
      <c r="D15" s="29" t="inlineStr">
        <is>
          <t>What local buyers will pay for a bagged compost product with this story attached.</t>
        </is>
      </c>
    </row>
    <row r="16" ht="32" customHeight="1">
      <c r="B16" s="29" t="inlineStr">
        <is>
          <t>Community soil COGS per bag</t>
        </is>
      </c>
      <c r="C16" s="30" t="inlineStr">
        <is>
          <t>$3/bag</t>
        </is>
      </c>
      <c r="D16" s="29" t="inlineStr">
        <is>
          <t>Bag, label, fill labor at volume.</t>
        </is>
      </c>
    </row>
    <row r="17" ht="32" customHeight="1">
      <c r="B17" s="29" t="inlineStr">
        <is>
          <t>Facility rent / build cost (Solid)</t>
        </is>
      </c>
      <c r="C17" s="30" t="inlineStr">
        <is>
          <t>$800/mo; $6,500 fit-out</t>
        </is>
      </c>
      <c r="D17" s="29" t="inlineStr">
        <is>
          <t>Local lease market; fit-out cost for modest conversions.</t>
        </is>
      </c>
    </row>
    <row r="18" ht="32" customHeight="1">
      <c r="B18" s="29" t="inlineStr">
        <is>
          <t>Facility build cost (Dream)</t>
        </is>
      </c>
      <c r="C18" s="30" t="inlineStr">
        <is>
          <t>$48,000 modular</t>
        </is>
      </c>
      <c r="D18" s="29" t="inlineStr">
        <is>
          <t>Actual quotes for small modular facility on owned land.</t>
        </is>
      </c>
    </row>
    <row r="19" ht="32" customHeight="1">
      <c r="B19" s="29" t="inlineStr">
        <is>
          <t>Insurance premiums + composting rider</t>
        </is>
      </c>
      <c r="C19" s="30" t="inlineStr">
        <is>
          <t>$180/mo placeholder</t>
        </is>
      </c>
      <c r="D19" s="29" t="inlineStr">
        <is>
          <t>Carrier that will write a composting / animal-remains handling rider in GA.</t>
        </is>
      </c>
    </row>
    <row r="20" ht="32" customHeight="1">
      <c r="B20" s="29" t="inlineStr">
        <is>
          <t>Transport / fuel</t>
        </is>
      </c>
      <c r="C20" s="30" t="inlineStr">
        <is>
          <t>$275/mo placeholder</t>
        </is>
      </c>
      <c r="D20" s="29" t="inlineStr">
        <is>
          <t>Realistic pickup radius, miles per month, fuel, vehicle depreciation across private + shelter routes.</t>
        </is>
      </c>
    </row>
    <row r="21" ht="32" customHeight="1">
      <c r="B21" s="29" t="inlineStr">
        <is>
          <t>Intake kit cost per unit</t>
        </is>
      </c>
      <c r="C21" s="30" t="inlineStr">
        <is>
          <t>Folded into COGS</t>
        </is>
      </c>
      <c r="D21" s="29" t="inlineStr">
        <is>
          <t>Cooler, cold-chain element, liner, label, forms — unit cost at volume.</t>
        </is>
      </c>
    </row>
    <row r="22" ht="32" customHeight="1">
      <c r="B22" s="29" t="inlineStr">
        <is>
          <t>Shipping cost per private intake</t>
        </is>
      </c>
      <c r="C22" s="30" t="inlineStr">
        <is>
          <t>Folded into transport</t>
        </is>
      </c>
      <c r="D22" s="29" t="inlineStr">
        <is>
          <t>Carrier rates for overnight with temperature stabilization.</t>
        </is>
      </c>
    </row>
    <row r="23" ht="32" customHeight="1">
      <c r="B23" s="29" t="inlineStr">
        <is>
          <t>Cold storage (CoolBot walk-in)</t>
        </is>
      </c>
      <c r="C23" s="30" t="inlineStr">
        <is>
          <t>$4,250 (researched)</t>
        </is>
      </c>
      <c r="D23" s="29" t="inlineStr">
        <is>
          <t>CoolBot walk-in build confirmed at $3,500–$5,000. Satisfies O.C.G.A. § 4-5-5 24-hr requirement.</t>
        </is>
      </c>
    </row>
    <row r="24" ht="32" customHeight="1">
      <c r="B24" s="29" t="inlineStr">
        <is>
          <t>Permit application fees</t>
        </is>
      </c>
      <c r="C24" s="30" t="inlineStr">
        <is>
          <t>$2,000 GA EPD PBR</t>
        </is>
      </c>
      <c r="D24" s="29" t="inlineStr">
        <is>
          <t>Verify current fee and check for any county-level add-ons.</t>
        </is>
      </c>
    </row>
    <row r="25" ht="32" customHeight="1">
      <c r="B25" s="29" t="inlineStr">
        <is>
          <t>Seed / starter plant supplier</t>
        </is>
      </c>
      <c r="C25" s="30" t="inlineStr">
        <is>
          <t>Not quantified</t>
        </is>
      </c>
      <c r="D25" s="29" t="inlineStr">
        <is>
          <t>Local nursery partnership for Line 2 starter packs.</t>
        </is>
      </c>
    </row>
    <row r="26" ht="32" customHeight="1">
      <c r="B26" s="29" t="inlineStr">
        <is>
          <t>Cedar planter sourcing</t>
        </is>
      </c>
      <c r="C26" s="30" t="inlineStr">
        <is>
          <t>Folded into COGS</t>
        </is>
      </c>
      <c r="D26" s="29" t="inlineStr">
        <is>
          <t>Woodworker or supplier for cedar planter boxes at the Line 2 weight tiers.</t>
        </is>
      </c>
    </row>
    <row r="27" ht="32" customHeight="1">
      <c r="B27" s="29" t="inlineStr">
        <is>
          <t>Research partnership revenue</t>
        </is>
      </c>
      <c r="C27" s="30" t="inlineStr">
        <is>
          <t>$12k/partnership</t>
        </is>
      </c>
      <c r="D27" s="29" t="inlineStr">
        <is>
          <t>Actual fee structures at UGA extension / Auburn / UT vet — fee-for-access, grant sub-award, or contract research.</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B2:E65"/>
  <sheetViews>
    <sheetView workbookViewId="0">
      <selection activeCell="A1" sqref="A1"/>
    </sheetView>
  </sheetViews>
  <sheetFormatPr baseColWidth="8" defaultRowHeight="15"/>
  <cols>
    <col width="3" customWidth="1" min="1" max="1"/>
    <col width="42" customWidth="1" min="2" max="2"/>
    <col width="16" customWidth="1" min="3" max="3"/>
    <col width="14" customWidth="1" min="4" max="4"/>
    <col width="60" customWidth="1" min="5" max="5"/>
  </cols>
  <sheetData>
    <row r="2">
      <c r="B2" s="1" t="inlineStr">
        <is>
          <t>Master Assumptions</t>
        </is>
      </c>
    </row>
    <row r="3">
      <c r="B3" s="2" t="inlineStr">
        <is>
          <t>Change blue inputs here. Every other sheet pulls from this page.</t>
        </is>
      </c>
    </row>
    <row r="7">
      <c r="B7" s="5" t="inlineStr">
        <is>
          <t>LINE 1 — MARBLED MEMORIAL STONES (Marble Method)</t>
        </is>
      </c>
    </row>
    <row r="8">
      <c r="B8" s="6" t="inlineStr">
        <is>
          <t>Unit price — garden stone</t>
        </is>
      </c>
      <c r="C8" s="7" t="n">
        <v>180</v>
      </c>
      <c r="E8" s="8" t="inlineStr">
        <is>
          <t>Placeholder. Mid-size cement memorial piece for garden placement.</t>
        </is>
      </c>
    </row>
    <row r="9">
      <c r="B9" s="6" t="inlineStr">
        <is>
          <t>Unit price — worry stone set</t>
        </is>
      </c>
      <c r="C9" s="7" t="n">
        <v>125</v>
      </c>
      <c r="E9" s="8" t="inlineStr">
        <is>
          <t>Placeholder. Small handheld set (3-5 stones).</t>
        </is>
      </c>
    </row>
    <row r="10">
      <c r="B10" s="6" t="inlineStr">
        <is>
          <t>Unit price — candle holder</t>
        </is>
      </c>
      <c r="C10" s="7" t="n">
        <v>85</v>
      </c>
      <c r="E10" s="8" t="inlineStr">
        <is>
          <t>Placeholder. Mantel piece with inset for tealight or pillar.</t>
        </is>
      </c>
    </row>
    <row r="11">
      <c r="B11" s="6" t="inlineStr">
        <is>
          <t>Unit price — memorial bundle</t>
        </is>
      </c>
      <c r="C11" s="7" t="n">
        <v>260</v>
      </c>
      <c r="E11" s="8" t="inlineStr">
        <is>
          <t>Placeholder. Combined stone + soil sample, cross-line offer.</t>
        </is>
      </c>
    </row>
    <row r="12">
      <c r="B12" s="6" t="inlineStr">
        <is>
          <t>Avg COGS per memorial piece</t>
        </is>
      </c>
      <c r="C12" s="9" t="n">
        <v>65</v>
      </c>
      <c r="E12" s="8" t="inlineStr">
        <is>
          <t>Cement, aggregate prep, binder, finishing, packaging. NEEDS RESEARCH.</t>
        </is>
      </c>
    </row>
    <row r="13">
      <c r="B13" s="6" t="inlineStr">
        <is>
          <t>Stone monthly volume (Year 1)</t>
        </is>
      </c>
      <c r="C13" s="10" t="n">
        <v>8</v>
      </c>
      <c r="E13" s="8" t="inlineStr">
        <is>
          <t>Conservative. ~2 pieces per week.</t>
        </is>
      </c>
    </row>
    <row r="14">
      <c r="B14" s="6" t="inlineStr">
        <is>
          <t>Stone monthly volume (Year 2)</t>
        </is>
      </c>
      <c r="C14" s="10" t="n">
        <v>18</v>
      </c>
      <c r="E14" s="8" t="inlineStr">
        <is>
          <t>Growth assumption.</t>
        </is>
      </c>
    </row>
    <row r="15">
      <c r="B15" s="6" t="inlineStr">
        <is>
          <t>Stone monthly volume (Year 3)</t>
        </is>
      </c>
      <c r="C15" s="10" t="n">
        <v>30</v>
      </c>
      <c r="E15" s="8" t="inlineStr">
        <is>
          <t>Growth assumption.</t>
        </is>
      </c>
    </row>
    <row r="17">
      <c r="B17" s="5" t="inlineStr">
        <is>
          <t>LINE 2 — MEMORIAL SOIL (Private NOR, commercial composter)</t>
        </is>
      </c>
    </row>
    <row r="18">
      <c r="B18" s="6" t="inlineStr">
        <is>
          <t>Price — Tiny (&lt;10 lb)</t>
        </is>
      </c>
      <c r="C18" s="7" t="n">
        <v>375</v>
      </c>
      <c r="E18" s="8" t="inlineStr">
        <is>
          <t>Includes cedar planter + starter plant.</t>
        </is>
      </c>
    </row>
    <row r="19">
      <c r="B19" s="6" t="inlineStr">
        <is>
          <t>Price — Small (10-20 lb)</t>
        </is>
      </c>
      <c r="C19" s="7" t="n">
        <v>475</v>
      </c>
      <c r="E19" s="8" t="inlineStr">
        <is>
          <t>Includes cedar planter + starter plant.</t>
        </is>
      </c>
    </row>
    <row r="20">
      <c r="B20" s="6" t="inlineStr">
        <is>
          <t>Price — Medium (20-30 lb)</t>
        </is>
      </c>
      <c r="C20" s="7" t="n">
        <v>525</v>
      </c>
      <c r="E20" s="8" t="inlineStr">
        <is>
          <t>Includes cedar planter + starter plant.</t>
        </is>
      </c>
    </row>
    <row r="21">
      <c r="B21" s="6" t="inlineStr">
        <is>
          <t>Price — Large (30-40 lb)</t>
        </is>
      </c>
      <c r="C21" s="7" t="n">
        <v>625</v>
      </c>
      <c r="E21" s="8" t="inlineStr">
        <is>
          <t>Includes cedar planter + starter plant.</t>
        </is>
      </c>
    </row>
    <row r="22">
      <c r="B22" s="6" t="inlineStr">
        <is>
          <t>COGS — Tiny</t>
        </is>
      </c>
      <c r="C22" s="9" t="n">
        <v>85</v>
      </c>
      <c r="E22" s="8" t="inlineStr">
        <is>
          <t>Carbon bulking, intake kit, planter, shipping, starter plant. NEEDS RESEARCH.</t>
        </is>
      </c>
    </row>
    <row r="23">
      <c r="B23" s="6" t="inlineStr">
        <is>
          <t>COGS — Small</t>
        </is>
      </c>
      <c r="C23" s="9" t="n">
        <v>110</v>
      </c>
      <c r="E23" s="8" t="inlineStr">
        <is>
          <t>As above.</t>
        </is>
      </c>
    </row>
    <row r="24">
      <c r="B24" s="6" t="inlineStr">
        <is>
          <t>COGS — Medium</t>
        </is>
      </c>
      <c r="C24" s="9" t="n">
        <v>135</v>
      </c>
      <c r="E24" s="8" t="inlineStr">
        <is>
          <t>As above.</t>
        </is>
      </c>
    </row>
    <row r="25">
      <c r="B25" s="6" t="inlineStr">
        <is>
          <t>COGS — Large</t>
        </is>
      </c>
      <c r="C25" s="9" t="n">
        <v>160</v>
      </c>
      <c r="E25" s="8" t="inlineStr">
        <is>
          <t>As above.</t>
        </is>
      </c>
    </row>
    <row r="26">
      <c r="B26" s="6" t="inlineStr">
        <is>
          <t>Blend — % Tiny</t>
        </is>
      </c>
      <c r="C26" s="11" t="n">
        <v>0.4</v>
      </c>
      <c r="E26" s="8" t="inlineStr">
        <is>
          <t>Assumed mix of intake weight tiers.</t>
        </is>
      </c>
    </row>
    <row r="27">
      <c r="B27" s="6" t="inlineStr">
        <is>
          <t>Blend — % Small</t>
        </is>
      </c>
      <c r="C27" s="11" t="n">
        <v>0.3</v>
      </c>
      <c r="E27" s="8" t="inlineStr"/>
    </row>
    <row r="28">
      <c r="B28" s="6" t="inlineStr">
        <is>
          <t>Blend — % Medium</t>
        </is>
      </c>
      <c r="C28" s="11" t="n">
        <v>0.2</v>
      </c>
      <c r="E28" s="8" t="inlineStr"/>
    </row>
    <row r="29">
      <c r="B29" s="6" t="inlineStr">
        <is>
          <t>Blend — % Large</t>
        </is>
      </c>
      <c r="C29" s="11" t="n">
        <v>0.1</v>
      </c>
      <c r="E29" s="8" t="inlineStr">
        <is>
          <t>Tiers must sum to 100%.</t>
        </is>
      </c>
    </row>
    <row r="30">
      <c r="B30" s="6" t="inlineStr">
        <is>
          <t>Private soil monthly volume (Year 1)</t>
        </is>
      </c>
      <c r="C30" s="10" t="n">
        <v>4</v>
      </c>
      <c r="E30" s="8" t="inlineStr">
        <is>
          <t>Conservative private intake — line ramps after stones.</t>
        </is>
      </c>
    </row>
    <row r="31">
      <c r="B31" s="6" t="inlineStr">
        <is>
          <t>Private soil monthly volume (Year 2)</t>
        </is>
      </c>
      <c r="C31" s="10" t="n">
        <v>12</v>
      </c>
      <c r="E31" s="8" t="inlineStr">
        <is>
          <t>Growth assumption.</t>
        </is>
      </c>
    </row>
    <row r="32">
      <c r="B32" s="6" t="inlineStr">
        <is>
          <t>Private soil monthly volume (Year 3)</t>
        </is>
      </c>
      <c r="C32" s="10" t="n">
        <v>22</v>
      </c>
      <c r="E32" s="8" t="inlineStr">
        <is>
          <t>Growth assumption.</t>
        </is>
      </c>
    </row>
    <row r="34">
      <c r="B34" s="5" t="inlineStr">
        <is>
          <t>LINE 3 — SHELTER PROGRAM (mass composting + community soil)</t>
        </is>
      </c>
    </row>
    <row r="35">
      <c r="B35" s="6" t="inlineStr">
        <is>
          <t>Shelter intake fee per animal</t>
        </is>
      </c>
      <c r="C35" s="9" t="n">
        <v>15</v>
      </c>
      <c r="E35" s="8" t="inlineStr">
        <is>
          <t>Modest per-animal fee shelters can justify vs landfill. NEEDS RESEARCH.</t>
        </is>
      </c>
    </row>
    <row r="36">
      <c r="B36" s="6" t="inlineStr">
        <is>
          <t>Shelter animals per month (Year 1)</t>
        </is>
      </c>
      <c r="C36" s="10" t="n">
        <v>20</v>
      </c>
      <c r="E36" s="8" t="inlineStr">
        <is>
          <t>Pilot with one shelter.</t>
        </is>
      </c>
    </row>
    <row r="37">
      <c r="B37" s="6" t="inlineStr">
        <is>
          <t>Shelter animals per month (Year 2)</t>
        </is>
      </c>
      <c r="C37" s="10" t="n">
        <v>60</v>
      </c>
      <c r="E37" s="8" t="inlineStr">
        <is>
          <t>Multi-shelter partnerships.</t>
        </is>
      </c>
    </row>
    <row r="38">
      <c r="B38" s="6" t="inlineStr">
        <is>
          <t>Shelter animals per month (Year 3)</t>
        </is>
      </c>
      <c r="C38" s="10" t="n">
        <v>120</v>
      </c>
      <c r="E38" s="8" t="inlineStr">
        <is>
          <t>Full mass-operation scale.</t>
        </is>
      </c>
    </row>
    <row r="39">
      <c r="B39" s="6" t="inlineStr">
        <is>
          <t>COGS per shelter animal processed</t>
        </is>
      </c>
      <c r="C39" s="9" t="n">
        <v>6</v>
      </c>
      <c r="E39" s="8" t="inlineStr">
        <is>
          <t>Bulk carbon inputs, handling, recordkeeping at scale. NEEDS RESEARCH.</t>
        </is>
      </c>
    </row>
    <row r="40">
      <c r="B40" s="6" t="inlineStr">
        <is>
          <t>Community soil — price per bag</t>
        </is>
      </c>
      <c r="C40" s="7" t="n">
        <v>12</v>
      </c>
      <c r="E40" s="8" t="inlineStr">
        <is>
          <t>Retail finished soil, bagged. Placeholder.</t>
        </is>
      </c>
    </row>
    <row r="41">
      <c r="B41" s="6" t="inlineStr">
        <is>
          <t>Community soil — COGS per bag</t>
        </is>
      </c>
      <c r="C41" s="9" t="n">
        <v>3</v>
      </c>
      <c r="E41" s="8" t="inlineStr">
        <is>
          <t>Bag, label, fill labor. NEEDS RESEARCH.</t>
        </is>
      </c>
    </row>
    <row r="42">
      <c r="B42" s="6" t="inlineStr">
        <is>
          <t>Community soil bags sold (Year 1/mo)</t>
        </is>
      </c>
      <c r="C42" s="10" t="n">
        <v>60</v>
      </c>
      <c r="E42" s="8" t="inlineStr">
        <is>
          <t>Pilot volume, local pickup.</t>
        </is>
      </c>
    </row>
    <row r="43">
      <c r="B43" s="6" t="inlineStr">
        <is>
          <t>Community soil bags sold (Year 2/mo)</t>
        </is>
      </c>
      <c r="C43" s="10" t="n">
        <v>220</v>
      </c>
      <c r="E43" s="8" t="inlineStr">
        <is>
          <t>Ramped distribution.</t>
        </is>
      </c>
    </row>
    <row r="44">
      <c r="B44" s="6" t="inlineStr">
        <is>
          <t>Community soil bags sold (Year 3/mo)</t>
        </is>
      </c>
      <c r="C44" s="10" t="n">
        <v>450</v>
      </c>
      <c r="E44" s="8" t="inlineStr">
        <is>
          <t>Stable mass operation output.</t>
        </is>
      </c>
    </row>
    <row r="46">
      <c r="B46" s="5" t="inlineStr">
        <is>
          <t>LINE 4 — ACADEMIC RESEARCH PARTNERSHIPS</t>
        </is>
      </c>
    </row>
    <row r="47">
      <c r="B47" s="6" t="inlineStr">
        <is>
          <t>Active partnerships (Year 1)</t>
        </is>
      </c>
      <c r="C47" s="10" t="n">
        <v>0</v>
      </c>
      <c r="E47" s="8" t="inlineStr">
        <is>
          <t>Phase 5 — scoping year, no partnerships yet.</t>
        </is>
      </c>
    </row>
    <row r="48">
      <c r="B48" s="6" t="inlineStr">
        <is>
          <t>Active partnerships (Year 2)</t>
        </is>
      </c>
      <c r="C48" s="10" t="n">
        <v>1</v>
      </c>
      <c r="E48" s="8" t="inlineStr">
        <is>
          <t>First UGA or Auburn partnership.</t>
        </is>
      </c>
    </row>
    <row r="49">
      <c r="B49" s="6" t="inlineStr">
        <is>
          <t>Active partnerships (Year 3)</t>
        </is>
      </c>
      <c r="C49" s="10" t="n">
        <v>2</v>
      </c>
      <c r="E49" s="8" t="inlineStr">
        <is>
          <t>Second partnership added.</t>
        </is>
      </c>
    </row>
    <row r="50">
      <c r="B50" s="6" t="inlineStr">
        <is>
          <t>Avg annual revenue per partnership</t>
        </is>
      </c>
      <c r="C50" s="9" t="n">
        <v>12000</v>
      </c>
      <c r="E50" s="8" t="inlineStr">
        <is>
          <t>Contract, fee-for-access, or grant sub-award. NEEDS RESEARCH.</t>
        </is>
      </c>
    </row>
    <row r="51">
      <c r="B51" s="6" t="inlineStr">
        <is>
          <t>Avg annual cost per partnership</t>
        </is>
      </c>
      <c r="C51" s="7" t="n">
        <v>3000</v>
      </c>
      <c r="E51" s="8" t="inlineStr">
        <is>
          <t>Incremental labor, sampling, reporting.</t>
        </is>
      </c>
    </row>
    <row r="53">
      <c r="B53" s="5" t="inlineStr">
        <is>
          <t>OPERATING COSTS (monthly)</t>
        </is>
      </c>
    </row>
    <row r="54">
      <c r="B54" s="6" t="inlineStr">
        <is>
          <t>Facility rent / mortgage</t>
        </is>
      </c>
      <c r="C54" s="9" t="n">
        <v>800</v>
      </c>
      <c r="E54" s="8" t="inlineStr">
        <is>
          <t>Solid path assumption. NEEDS RESEARCH.</t>
        </is>
      </c>
    </row>
    <row r="55">
      <c r="B55" s="6" t="inlineStr">
        <is>
          <t>Utilities (power/water/internet)</t>
        </is>
      </c>
      <c r="C55" s="7" t="n">
        <v>225</v>
      </c>
      <c r="E55" s="8" t="inlineStr">
        <is>
          <t>Placeholder.</t>
        </is>
      </c>
    </row>
    <row r="56">
      <c r="B56" s="6" t="inlineStr">
        <is>
          <t>Insurance (liability + composting rider)</t>
        </is>
      </c>
      <c r="C56" s="9" t="n">
        <v>180</v>
      </c>
      <c r="E56" s="8" t="inlineStr">
        <is>
          <t>NEEDS RESEARCH.</t>
        </is>
      </c>
    </row>
    <row r="57">
      <c r="B57" s="6" t="inlineStr">
        <is>
          <t>Compliance / permit fees (amortized)</t>
        </is>
      </c>
      <c r="C57" s="7" t="n">
        <v>45</v>
      </c>
      <c r="E57" s="8" t="inlineStr">
        <is>
          <t>$2k GA EPD Class 2 PBR + licenses, annualized.</t>
        </is>
      </c>
    </row>
    <row r="58">
      <c r="B58" s="6" t="inlineStr">
        <is>
          <t>Supplies (carbon, binder, consumables)</t>
        </is>
      </c>
      <c r="C58" s="9" t="n">
        <v>350</v>
      </c>
      <c r="E58" s="8" t="inlineStr">
        <is>
          <t>Wood chips, sawdust, straw, binder. NEEDS RESEARCH.</t>
        </is>
      </c>
    </row>
    <row r="59">
      <c r="B59" s="6" t="inlineStr">
        <is>
          <t>Transport / fuel</t>
        </is>
      </c>
      <c r="C59" s="9" t="n">
        <v>275</v>
      </c>
      <c r="E59" s="8" t="inlineStr">
        <is>
          <t>Pickups and shipping. NEEDS RESEARCH.</t>
        </is>
      </c>
    </row>
    <row r="60">
      <c r="B60" s="6" t="inlineStr">
        <is>
          <t>Website / software / domain</t>
        </is>
      </c>
      <c r="C60" s="7" t="n">
        <v>80</v>
      </c>
      <c r="E60" s="8" t="inlineStr">
        <is>
          <t>Hosting, email, POS. Deferred until Phase 5.</t>
        </is>
      </c>
    </row>
    <row r="61">
      <c r="B61" s="6" t="inlineStr">
        <is>
          <t>Founder draw</t>
        </is>
      </c>
      <c r="C61" s="7" t="n">
        <v>2500</v>
      </c>
      <c r="E61" s="8" t="inlineStr">
        <is>
          <t>Year 1 draw. Lifestyle, not market salary.</t>
        </is>
      </c>
    </row>
    <row r="62">
      <c r="B62" s="6" t="inlineStr">
        <is>
          <t>Marketing (Year 2+)</t>
        </is>
      </c>
      <c r="C62" s="7" t="n">
        <v>200</v>
      </c>
      <c r="E62" s="8" t="inlineStr">
        <is>
          <t>Deferred — marketing is last.</t>
        </is>
      </c>
    </row>
    <row r="64">
      <c r="B64" s="5" t="inlineStr">
        <is>
          <t>TAX / ACCOUNTING</t>
        </is>
      </c>
    </row>
    <row r="65">
      <c r="B65" s="6" t="inlineStr">
        <is>
          <t>Effective tax rate</t>
        </is>
      </c>
      <c r="C65" s="11" t="n">
        <v>0.22</v>
      </c>
      <c r="E65" s="8" t="inlineStr">
        <is>
          <t>Blended SE + federal + GA. Placeholder.</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B2:F15"/>
  <sheetViews>
    <sheetView workbookViewId="0">
      <selection activeCell="A1" sqref="A1"/>
    </sheetView>
  </sheetViews>
  <sheetFormatPr baseColWidth="8" defaultRowHeight="15"/>
  <cols>
    <col width="3" customWidth="1" min="1" max="1"/>
    <col width="36" customWidth="1" min="2" max="2"/>
    <col width="16" customWidth="1" min="3" max="3"/>
    <col width="16" customWidth="1" min="4" max="4"/>
    <col width="16" customWidth="1" min="5" max="5"/>
    <col width="40" customWidth="1" min="6" max="6"/>
  </cols>
  <sheetData>
    <row r="2">
      <c r="B2" s="1" t="inlineStr">
        <is>
          <t>Line 1 — Marbled Memorial Stones  ·  Unit Economics</t>
        </is>
      </c>
    </row>
    <row r="3">
      <c r="B3" s="2" t="inlineStr">
        <is>
          <t>Marble Method — cremains marbled as aggregate into a cement memorial piece.</t>
        </is>
      </c>
    </row>
    <row r="5">
      <c r="B5" s="12" t="inlineStr">
        <is>
          <t>Product</t>
        </is>
      </c>
      <c r="C5" s="12" t="inlineStr">
        <is>
          <t>Price</t>
        </is>
      </c>
      <c r="D5" s="12" t="inlineStr">
        <is>
          <t>Est. COGS</t>
        </is>
      </c>
      <c r="E5" s="12" t="inlineStr">
        <is>
          <t>Gross Margin</t>
        </is>
      </c>
      <c r="F5" s="12" t="inlineStr">
        <is>
          <t>Notes</t>
        </is>
      </c>
    </row>
    <row r="6">
      <c r="B6" s="13" t="inlineStr">
        <is>
          <t>Garden stone</t>
        </is>
      </c>
      <c r="C6" s="14">
        <f>Assumptions!$C$8</f>
        <v/>
      </c>
      <c r="D6" s="15">
        <f>ROUND(Assumptions!$C$12*1.00,0)</f>
        <v/>
      </c>
      <c r="E6" s="16">
        <f>IFERROR((C6-D6)/C6,0)</f>
        <v/>
      </c>
      <c r="F6" s="17" t="inlineStr">
        <is>
          <t>Core product — cement memorial piece for garden placement.</t>
        </is>
      </c>
    </row>
    <row r="7">
      <c r="B7" s="13" t="inlineStr">
        <is>
          <t>Worry stone set</t>
        </is>
      </c>
      <c r="C7" s="14">
        <f>Assumptions!$C$9</f>
        <v/>
      </c>
      <c r="D7" s="15">
        <f>ROUND(Assumptions!$C$12*0.70,0)</f>
        <v/>
      </c>
      <c r="E7" s="16">
        <f>IFERROR((C7-D7)/C7,0)</f>
        <v/>
      </c>
      <c r="F7" s="17" t="inlineStr">
        <is>
          <t>Small handheld set (3-5 stones).</t>
        </is>
      </c>
    </row>
    <row r="8">
      <c r="B8" s="13" t="inlineStr">
        <is>
          <t>Candle holder</t>
        </is>
      </c>
      <c r="C8" s="14">
        <f>Assumptions!$C$10</f>
        <v/>
      </c>
      <c r="D8" s="15">
        <f>ROUND(Assumptions!$C$12*0.65,0)</f>
        <v/>
      </c>
      <c r="E8" s="16">
        <f>IFERROR((C8-D8)/C8,0)</f>
        <v/>
      </c>
      <c r="F8" s="17" t="inlineStr">
        <is>
          <t>Mantel piece.</t>
        </is>
      </c>
    </row>
    <row r="9">
      <c r="B9" s="13" t="inlineStr">
        <is>
          <t>Memorial bundle</t>
        </is>
      </c>
      <c r="C9" s="14">
        <f>Assumptions!$C$11</f>
        <v/>
      </c>
      <c r="D9" s="15">
        <f>ROUND(Assumptions!$C$12*1.25,0)</f>
        <v/>
      </c>
      <c r="E9" s="16">
        <f>IFERROR((C9-D9)/C9,0)</f>
        <v/>
      </c>
      <c r="F9" s="17" t="inlineStr">
        <is>
          <t>Bundle — stone + memorial soil sample.</t>
        </is>
      </c>
    </row>
    <row r="12">
      <c r="B12" s="5" t="inlineStr">
        <is>
          <t>MONTHLY PROJECTION (at assumed volume)</t>
        </is>
      </c>
    </row>
    <row r="13">
      <c r="B13" s="6" t="inlineStr">
        <is>
          <t>Year 1</t>
        </is>
      </c>
      <c r="C13" s="18">
        <f>Assumptions!$C$13*Assumptions!$C$8</f>
        <v/>
      </c>
      <c r="F13" s="19" t="inlineStr">
        <is>
          <t>Modeled at garden-stone price; mix will vary.</t>
        </is>
      </c>
    </row>
    <row r="14">
      <c r="B14" s="6" t="inlineStr">
        <is>
          <t>Year 2</t>
        </is>
      </c>
      <c r="C14" s="18">
        <f>Assumptions!$C$14*Assumptions!$C$8</f>
        <v/>
      </c>
      <c r="F14" s="19" t="inlineStr">
        <is>
          <t>Modeled at garden-stone price; mix will vary.</t>
        </is>
      </c>
    </row>
    <row r="15">
      <c r="B15" s="6" t="inlineStr">
        <is>
          <t>Year 3</t>
        </is>
      </c>
      <c r="C15" s="18">
        <f>Assumptions!$C$15*Assumptions!$C$8</f>
        <v/>
      </c>
      <c r="F15" s="19" t="inlineStr">
        <is>
          <t>Modeled at garden-stone price; mix will vary.</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B2:H19"/>
  <sheetViews>
    <sheetView workbookViewId="0">
      <selection activeCell="A1" sqref="A1"/>
    </sheetView>
  </sheetViews>
  <sheetFormatPr baseColWidth="8" defaultRowHeight="15"/>
  <cols>
    <col width="3" customWidth="1" min="1" max="1"/>
    <col width="28" customWidth="1" min="2" max="2"/>
    <col width="14" customWidth="1" min="3" max="3"/>
    <col width="14" customWidth="1" min="4" max="4"/>
    <col width="14" customWidth="1" min="5" max="5"/>
    <col width="14" customWidth="1" min="6" max="6"/>
    <col width="14" customWidth="1" min="7" max="7"/>
    <col width="40" customWidth="1" min="8" max="8"/>
  </cols>
  <sheetData>
    <row r="2">
      <c r="B2" s="1" t="inlineStr">
        <is>
          <t>Line 2 — Memorial Soil (Private NOR)  ·  Unit Economics</t>
        </is>
      </c>
    </row>
    <row r="3">
      <c r="B3" s="2" t="inlineStr">
        <is>
          <t>Weight-tier pricing. Private family service in a commercial small-animal composter.</t>
        </is>
      </c>
    </row>
    <row r="5">
      <c r="B5" s="12" t="inlineStr">
        <is>
          <t>Tier</t>
        </is>
      </c>
      <c r="C5" s="12" t="inlineStr">
        <is>
          <t>Weight</t>
        </is>
      </c>
      <c r="D5" s="12" t="inlineStr">
        <is>
          <t>Price</t>
        </is>
      </c>
      <c r="E5" s="12" t="inlineStr">
        <is>
          <t>COGS</t>
        </is>
      </c>
      <c r="F5" s="12" t="inlineStr">
        <is>
          <t>GM $</t>
        </is>
      </c>
      <c r="G5" s="12" t="inlineStr">
        <is>
          <t>GM %</t>
        </is>
      </c>
      <c r="H5" s="12" t="inlineStr">
        <is>
          <t>Notes</t>
        </is>
      </c>
    </row>
    <row r="6">
      <c r="B6" s="5" t="inlineStr">
        <is>
          <t>Tiny</t>
        </is>
      </c>
      <c r="C6" s="6" t="inlineStr">
        <is>
          <t>&lt; 10 lb</t>
        </is>
      </c>
      <c r="D6" s="20">
        <f>Assumptions!$C$18</f>
        <v/>
      </c>
      <c r="E6" s="20">
        <f>Assumptions!$C$22</f>
        <v/>
      </c>
      <c r="F6" s="18">
        <f>D6-E6</f>
        <v/>
      </c>
      <c r="G6" s="21">
        <f>IFERROR(F6/D6,0)</f>
        <v/>
      </c>
      <c r="H6" s="19" t="inlineStr">
        <is>
          <t>Small companion pets.</t>
        </is>
      </c>
    </row>
    <row r="7">
      <c r="B7" s="5" t="inlineStr">
        <is>
          <t>Small</t>
        </is>
      </c>
      <c r="C7" s="6" t="inlineStr">
        <is>
          <t>10–20 lb</t>
        </is>
      </c>
      <c r="D7" s="20">
        <f>Assumptions!$C$19</f>
        <v/>
      </c>
      <c r="E7" s="20">
        <f>Assumptions!$C$23</f>
        <v/>
      </c>
      <c r="F7" s="18">
        <f>D7-E7</f>
        <v/>
      </c>
      <c r="G7" s="21">
        <f>IFERROR(F7/D7,0)</f>
        <v/>
      </c>
      <c r="H7" s="19" t="inlineStr">
        <is>
          <t>Mid-range pets.</t>
        </is>
      </c>
    </row>
    <row r="8">
      <c r="B8" s="5" t="inlineStr">
        <is>
          <t>Medium</t>
        </is>
      </c>
      <c r="C8" s="6" t="inlineStr">
        <is>
          <t>20–30 lb</t>
        </is>
      </c>
      <c r="D8" s="20">
        <f>Assumptions!$C$20</f>
        <v/>
      </c>
      <c r="E8" s="20">
        <f>Assumptions!$C$24</f>
        <v/>
      </c>
      <c r="F8" s="18">
        <f>D8-E8</f>
        <v/>
      </c>
      <c r="G8" s="21">
        <f>IFERROR(F8/D8,0)</f>
        <v/>
      </c>
      <c r="H8" s="19" t="inlineStr">
        <is>
          <t>Larger pets.</t>
        </is>
      </c>
    </row>
    <row r="9">
      <c r="B9" s="5" t="inlineStr">
        <is>
          <t>Large</t>
        </is>
      </c>
      <c r="C9" s="6" t="inlineStr">
        <is>
          <t>30–40 lb</t>
        </is>
      </c>
      <c r="D9" s="20">
        <f>Assumptions!$C$21</f>
        <v/>
      </c>
      <c r="E9" s="20">
        <f>Assumptions!$C$25</f>
        <v/>
      </c>
      <c r="F9" s="18">
        <f>D9-E9</f>
        <v/>
      </c>
      <c r="G9" s="21">
        <f>IFERROR(F9/D9,0)</f>
        <v/>
      </c>
      <c r="H9" s="19" t="inlineStr">
        <is>
          <t>Top of the companion range.</t>
        </is>
      </c>
    </row>
    <row r="12">
      <c r="B12" s="5" t="inlineStr">
        <is>
          <t>Blended average unit revenue</t>
        </is>
      </c>
      <c r="D12" s="18">
        <f>Assumptions!$C$26*Assumptions!$C$18+Assumptions!$C$27*Assumptions!$C$19+Assumptions!$C$28*Assumptions!$C$20+Assumptions!$C$29*Assumptions!$C$21</f>
        <v/>
      </c>
    </row>
    <row r="13">
      <c r="B13" s="5" t="inlineStr">
        <is>
          <t>Blended average unit COGS</t>
        </is>
      </c>
      <c r="D13" s="18">
        <f>Assumptions!$C$26*Assumptions!$C$22+Assumptions!$C$27*Assumptions!$C$23+Assumptions!$C$28*Assumptions!$C$24+Assumptions!$C$29*Assumptions!$C$25</f>
        <v/>
      </c>
    </row>
    <row r="14">
      <c r="B14" s="5" t="inlineStr">
        <is>
          <t>Blended gross margin %</t>
        </is>
      </c>
      <c r="D14" s="21">
        <f>(D12-D13)/D12</f>
        <v/>
      </c>
    </row>
    <row r="16">
      <c r="B16" s="5" t="inlineStr">
        <is>
          <t>MONTHLY REVENUE PROJECTION</t>
        </is>
      </c>
    </row>
    <row r="17">
      <c r="B17" s="6" t="inlineStr">
        <is>
          <t>Year 1</t>
        </is>
      </c>
      <c r="C17" s="18">
        <f>Assumptions!$C$30*D12</f>
        <v/>
      </c>
    </row>
    <row r="18">
      <c r="B18" s="6" t="inlineStr">
        <is>
          <t>Year 2</t>
        </is>
      </c>
      <c r="C18" s="18">
        <f>Assumptions!$C$31*D12</f>
        <v/>
      </c>
    </row>
    <row r="19">
      <c r="B19" s="6" t="inlineStr">
        <is>
          <t>Year 3</t>
        </is>
      </c>
      <c r="C19" s="18">
        <f>Assumptions!$C$32*D12</f>
        <v/>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B2:F16"/>
  <sheetViews>
    <sheetView workbookViewId="0">
      <selection activeCell="A1" sqref="A1"/>
    </sheetView>
  </sheetViews>
  <sheetFormatPr baseColWidth="8" defaultRowHeight="15"/>
  <cols>
    <col width="3" customWidth="1" min="1" max="1"/>
    <col width="36" customWidth="1" min="2" max="2"/>
    <col width="16" customWidth="1" min="3" max="3"/>
    <col width="16" customWidth="1" min="4" max="4"/>
    <col width="16" customWidth="1" min="5" max="5"/>
    <col width="40" customWidth="1" min="6" max="6"/>
  </cols>
  <sheetData>
    <row r="2">
      <c r="B2" s="1" t="inlineStr">
        <is>
          <t>Line 3 — Shelter Program  ·  Mass Composting + Community Soil</t>
        </is>
      </c>
    </row>
    <row r="3">
      <c r="B3" s="2" t="inlineStr">
        <is>
          <t>Revenue line. Shelter intake fees + public sales of the community soil product.</t>
        </is>
      </c>
    </row>
    <row r="5">
      <c r="B5" s="12" t="inlineStr">
        <is>
          <t>Item</t>
        </is>
      </c>
      <c r="C5" s="12" t="inlineStr">
        <is>
          <t>Year 1</t>
        </is>
      </c>
      <c r="D5" s="12" t="inlineStr">
        <is>
          <t>Year 2</t>
        </is>
      </c>
      <c r="E5" s="12" t="inlineStr">
        <is>
          <t>Year 3</t>
        </is>
      </c>
      <c r="F5" s="12" t="inlineStr">
        <is>
          <t>Note</t>
        </is>
      </c>
    </row>
    <row r="6">
      <c r="B6" s="6" t="inlineStr">
        <is>
          <t>Shelter intake revenue (annual)</t>
        </is>
      </c>
      <c r="C6" s="18">
        <f>Assumptions!$C$36*Assumptions!$C$35*12</f>
        <v/>
      </c>
      <c r="D6" s="18">
        <f>Assumptions!$C$37*Assumptions!$C$35*12</f>
        <v/>
      </c>
      <c r="E6" s="18">
        <f>Assumptions!$C$38*Assumptions!$C$35*12</f>
        <v/>
      </c>
      <c r="F6" s="19" t="inlineStr">
        <is>
          <t>Modest per-animal fee × monthly volume × 12</t>
        </is>
      </c>
    </row>
    <row r="7">
      <c r="B7" s="6" t="inlineStr">
        <is>
          <t>Community soil revenue (annual)</t>
        </is>
      </c>
      <c r="C7" s="18">
        <f>Assumptions!$C$42*Assumptions!$C$40*12</f>
        <v/>
      </c>
      <c r="D7" s="18">
        <f>Assumptions!$C$43*Assumptions!$C$40*12</f>
        <v/>
      </c>
      <c r="E7" s="18">
        <f>Assumptions!$C$44*Assumptions!$C$40*12</f>
        <v/>
      </c>
      <c r="F7" s="19" t="inlineStr">
        <is>
          <t>Bags/month × price × 12 — the 'unconditional love'</t>
        </is>
      </c>
    </row>
    <row r="8">
      <c r="B8" s="5" t="inlineStr">
        <is>
          <t>Total Line 3 revenue</t>
        </is>
      </c>
      <c r="C8" s="22">
        <f>C6+C7</f>
        <v/>
      </c>
      <c r="D8" s="22">
        <f>D6+D7</f>
        <v/>
      </c>
      <c r="E8" s="22">
        <f>E6+E7</f>
        <v/>
      </c>
    </row>
    <row r="10">
      <c r="B10" s="6" t="inlineStr">
        <is>
          <t>Shelter processing COGS (annual)</t>
        </is>
      </c>
      <c r="C10" s="18">
        <f>Assumptions!$C$36*Assumptions!$C$39*12</f>
        <v/>
      </c>
      <c r="D10" s="18">
        <f>Assumptions!$C$37*Assumptions!$C$39*12</f>
        <v/>
      </c>
      <c r="E10" s="18">
        <f>Assumptions!$C$38*Assumptions!$C$39*12</f>
        <v/>
      </c>
    </row>
    <row r="11">
      <c r="B11" s="6" t="inlineStr">
        <is>
          <t>Community soil COGS (annual)</t>
        </is>
      </c>
      <c r="C11" s="18">
        <f>Assumptions!$C$42*Assumptions!$C$41*12</f>
        <v/>
      </c>
      <c r="D11" s="18">
        <f>Assumptions!$C$43*Assumptions!$C$41*12</f>
        <v/>
      </c>
      <c r="E11" s="18">
        <f>Assumptions!$C$44*Assumptions!$C$41*12</f>
        <v/>
      </c>
    </row>
    <row r="12">
      <c r="B12" s="5" t="inlineStr">
        <is>
          <t>Total Line 3 COGS</t>
        </is>
      </c>
      <c r="C12" s="22">
        <f>C10+C11</f>
        <v/>
      </c>
      <c r="D12" s="22">
        <f>D10+D11</f>
        <v/>
      </c>
      <c r="E12" s="22">
        <f>E10+E11</f>
        <v/>
      </c>
    </row>
    <row r="14">
      <c r="B14" s="5" t="inlineStr">
        <is>
          <t>Line 3 gross contribution</t>
        </is>
      </c>
      <c r="C14" s="22">
        <f>C8-C12</f>
        <v/>
      </c>
      <c r="D14" s="22">
        <f>D8-D12</f>
        <v/>
      </c>
      <c r="E14" s="22">
        <f>E8-E12</f>
        <v/>
      </c>
    </row>
    <row r="16" ht="44" customHeight="1">
      <c r="B16" s="23" t="inlineStr">
        <is>
          <t>Line 3 is designed to be a revenue line, not a break-even cost absorbed by the business. Community soil is the public product — bagged and sold as what we internally call the 'unconditional love.' The shelter intake fee is modest by design; the revenue model is carried by the soil.</t>
        </is>
      </c>
    </row>
  </sheetData>
  <mergeCells count="1">
    <mergeCell ref="B16:F16"/>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B2:F11"/>
  <sheetViews>
    <sheetView workbookViewId="0">
      <selection activeCell="A1" sqref="A1"/>
    </sheetView>
  </sheetViews>
  <sheetFormatPr baseColWidth="8" defaultRowHeight="15"/>
  <cols>
    <col width="3" customWidth="1" min="1" max="1"/>
    <col width="38" customWidth="1" min="2" max="2"/>
    <col width="16" customWidth="1" min="3" max="3"/>
    <col width="16" customWidth="1" min="4" max="4"/>
    <col width="16" customWidth="1" min="5" max="5"/>
    <col width="40" customWidth="1" min="6" max="6"/>
  </cols>
  <sheetData>
    <row r="2">
      <c r="B2" s="1" t="inlineStr">
        <is>
          <t>Line 4 — Academic Research Partnerships</t>
        </is>
      </c>
    </row>
    <row r="3">
      <c r="B3" s="2" t="inlineStr">
        <is>
          <t>Partnership line built on top of Line 3's mass operation. Slow build, meaningful value.</t>
        </is>
      </c>
    </row>
    <row r="5">
      <c r="B5" s="12" t="inlineStr">
        <is>
          <t>Item</t>
        </is>
      </c>
      <c r="C5" s="12" t="inlineStr">
        <is>
          <t>Year 1</t>
        </is>
      </c>
      <c r="D5" s="12" t="inlineStr">
        <is>
          <t>Year 2</t>
        </is>
      </c>
      <c r="E5" s="12" t="inlineStr">
        <is>
          <t>Year 3</t>
        </is>
      </c>
      <c r="F5" s="12" t="inlineStr">
        <is>
          <t>Note</t>
        </is>
      </c>
    </row>
    <row r="6">
      <c r="B6" s="6" t="inlineStr">
        <is>
          <t>Active partnerships</t>
        </is>
      </c>
      <c r="C6" s="24">
        <f>Assumptions!$C$47</f>
        <v/>
      </c>
      <c r="D6" s="24">
        <f>Assumptions!$C$48</f>
        <v/>
      </c>
      <c r="E6" s="24">
        <f>Assumptions!$C$49</f>
        <v/>
      </c>
      <c r="F6" s="19" t="inlineStr">
        <is>
          <t>Phase 5 onward. Year 1 is scoping.</t>
        </is>
      </c>
    </row>
    <row r="7">
      <c r="B7" s="6" t="inlineStr">
        <is>
          <t>Research revenue (annual)</t>
        </is>
      </c>
      <c r="C7" s="18">
        <f>Assumptions!$C$47*Assumptions!$C$50</f>
        <v/>
      </c>
      <c r="D7" s="18">
        <f>Assumptions!$C$48*Assumptions!$C$50</f>
        <v/>
      </c>
      <c r="E7" s="18">
        <f>Assumptions!$C$49*Assumptions!$C$50</f>
        <v/>
      </c>
    </row>
    <row r="8">
      <c r="B8" s="6" t="inlineStr">
        <is>
          <t>Research COGS (annual)</t>
        </is>
      </c>
      <c r="C8" s="18">
        <f>Assumptions!$C$47*Assumptions!$C$51</f>
        <v/>
      </c>
      <c r="D8" s="18">
        <f>Assumptions!$C$48*Assumptions!$C$51</f>
        <v/>
      </c>
      <c r="E8" s="18">
        <f>Assumptions!$C$49*Assumptions!$C$51</f>
        <v/>
      </c>
    </row>
    <row r="9">
      <c r="B9" s="5" t="inlineStr">
        <is>
          <t>Line 4 gross contribution</t>
        </is>
      </c>
      <c r="C9" s="22">
        <f>C7-C8</f>
        <v/>
      </c>
      <c r="D9" s="22">
        <f>D7-D8</f>
        <v/>
      </c>
      <c r="E9" s="22">
        <f>E7-E8</f>
        <v/>
      </c>
    </row>
    <row r="11" ht="36" customHeight="1">
      <c r="B11" s="23" t="inlineStr">
        <is>
          <t>Line 4 revenue is modeled as fee-for-access / grant sub-awards / contract research averaged per partnership. The real shape of a partnership agreement will determine which of those three mechanisms applies.</t>
        </is>
      </c>
    </row>
  </sheetData>
  <mergeCells count="1">
    <mergeCell ref="B11:F11"/>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B2:D22"/>
  <sheetViews>
    <sheetView workbookViewId="0">
      <selection activeCell="A1" sqref="A1"/>
    </sheetView>
  </sheetViews>
  <sheetFormatPr baseColWidth="8" defaultRowHeight="15"/>
  <cols>
    <col width="3" customWidth="1" min="1" max="1"/>
    <col width="46" customWidth="1" min="2" max="2"/>
    <col width="16" customWidth="1" min="3" max="3"/>
    <col width="50" customWidth="1" min="4" max="4"/>
  </cols>
  <sheetData>
    <row r="2">
      <c r="B2" s="1" t="inlineStr">
        <is>
          <t>Startup Capital — Solid Path</t>
        </is>
      </c>
    </row>
    <row r="3">
      <c r="B3" s="2" t="inlineStr">
        <is>
          <t>What it costs to open at the minimum-viable, ethics-compliant floor.</t>
        </is>
      </c>
    </row>
    <row r="5">
      <c r="B5" s="12" t="inlineStr">
        <is>
          <t>Item</t>
        </is>
      </c>
      <c r="C5" s="12" t="inlineStr">
        <is>
          <t>Cost</t>
        </is>
      </c>
      <c r="D5" s="12" t="inlineStr">
        <is>
          <t>Note</t>
        </is>
      </c>
    </row>
    <row r="6">
      <c r="B6" s="6" t="inlineStr">
        <is>
          <t>LLC formation (GA, single-member)</t>
        </is>
      </c>
      <c r="C6" s="25" t="n">
        <v>200</v>
      </c>
      <c r="D6" s="19" t="inlineStr">
        <is>
          <t>State filing fee + registered agent</t>
        </is>
      </c>
    </row>
    <row r="7">
      <c r="B7" s="6" t="inlineStr">
        <is>
          <t>Business licensing</t>
        </is>
      </c>
      <c r="C7" s="25" t="n">
        <v>150</v>
      </c>
      <c r="D7" s="19" t="inlineStr">
        <is>
          <t>County/city</t>
        </is>
      </c>
    </row>
    <row r="8">
      <c r="B8" s="6" t="inlineStr">
        <is>
          <t>GA EPD Class 2 Permit-by-Rule</t>
        </is>
      </c>
      <c r="C8" s="25" t="n">
        <v>2000</v>
      </c>
      <c r="D8" s="19" t="inlineStr">
        <is>
          <t>One-time registration</t>
        </is>
      </c>
    </row>
    <row r="9">
      <c r="B9" s="6" t="inlineStr">
        <is>
          <t>Liability + composting insurance (year 1)</t>
        </is>
      </c>
      <c r="C9" s="26" t="n">
        <v>2200</v>
      </c>
      <c r="D9" s="19" t="inlineStr">
        <is>
          <t>Annualized. NEEDS RESEARCH.</t>
        </is>
      </c>
    </row>
    <row r="10">
      <c r="B10" s="6" t="inlineStr">
        <is>
          <t>Facility fit-out (lease / modest build)</t>
        </is>
      </c>
      <c r="C10" s="26" t="n">
        <v>6500</v>
      </c>
      <c r="D10" s="19" t="inlineStr">
        <is>
          <t>Greenhouse or converted outbuilding. NEEDS RESEARCH.</t>
        </is>
      </c>
    </row>
    <row r="11">
      <c r="B11" s="6" t="inlineStr">
        <is>
          <t>Commercial small-animal composter (Line 2)</t>
        </is>
      </c>
      <c r="C11" s="26" t="n">
        <v>4200</v>
      </c>
      <c r="D11" s="19" t="inlineStr">
        <is>
          <t>Insulated, forced-aeration unit. NEEDS RESEARCH.</t>
        </is>
      </c>
    </row>
    <row r="12">
      <c r="B12" s="6" t="inlineStr">
        <is>
          <t>Mass composting bay infrastructure (Line 3)</t>
        </is>
      </c>
      <c r="C12" s="26" t="n">
        <v>3800</v>
      </c>
      <c r="D12" s="19" t="inlineStr">
        <is>
          <t>Walls, airflow, cover, probes for pilot-scale windrow bay. NEEDS RESEARCH.</t>
        </is>
      </c>
    </row>
    <row r="13">
      <c r="B13" s="6" t="inlineStr">
        <is>
          <t>Forced-aeration blower + manifold</t>
        </is>
      </c>
      <c r="C13" s="25" t="n">
        <v>850</v>
      </c>
      <c r="D13" s="19" t="inlineStr">
        <is>
          <t>Small industrial blower + distribution manifold</t>
        </is>
      </c>
    </row>
    <row r="14">
      <c r="B14" s="6" t="inlineStr">
        <is>
          <t>Temperature probes + data logger</t>
        </is>
      </c>
      <c r="C14" s="25" t="n">
        <v>450</v>
      </c>
      <c r="D14" s="19" t="inlineStr">
        <is>
          <t>Probes cheap; logger is the investment</t>
        </is>
      </c>
    </row>
    <row r="15">
      <c r="B15" s="6" t="inlineStr">
        <is>
          <t>Laboratory pan granulator (pearling)</t>
        </is>
      </c>
      <c r="C15" s="25" t="n">
        <v>1200</v>
      </c>
      <c r="D15" s="19" t="inlineStr">
        <is>
          <t>Researched: bench-scale tilted-disc unit, $1,000–$1,350 range.</t>
        </is>
      </c>
    </row>
    <row r="16">
      <c r="B16" s="6" t="inlineStr">
        <is>
          <t>Sodium silicate binder (initial supply)</t>
        </is>
      </c>
      <c r="C16" s="25" t="n">
        <v>300</v>
      </c>
      <c r="D16" s="19" t="inlineStr">
        <is>
          <t>Chemical supplier</t>
        </is>
      </c>
    </row>
    <row r="17">
      <c r="B17" s="6" t="inlineStr">
        <is>
          <t>Cement mixing station + molds (Line 1)</t>
        </is>
      </c>
      <c r="C17" s="25" t="n">
        <v>700</v>
      </c>
      <c r="D17" s="19" t="inlineStr">
        <is>
          <t>Mixer, molds for finished pieces, cure rack</t>
        </is>
      </c>
    </row>
    <row r="18">
      <c r="B18" s="6" t="inlineStr">
        <is>
          <t>Intake kits (coolers, cold-chain supply)</t>
        </is>
      </c>
      <c r="C18" s="25" t="n">
        <v>800</v>
      </c>
      <c r="D18" s="19" t="inlineStr">
        <is>
          <t>Starter stock of 20 kits</t>
        </is>
      </c>
    </row>
    <row r="19">
      <c r="B19" s="6" t="inlineStr">
        <is>
          <t>CoolBot walk-in cold storage (build)</t>
        </is>
      </c>
      <c r="C19" s="25" t="n">
        <v>4250</v>
      </c>
      <c r="D19" s="19" t="inlineStr">
        <is>
          <t>Researched: insulated room + CoolBot controller + AC unit, $3,500–$5,000 range.</t>
        </is>
      </c>
    </row>
    <row r="20">
      <c r="B20" s="6" t="inlineStr">
        <is>
          <t>Scales, camera, printer, documentation</t>
        </is>
      </c>
      <c r="C20" s="25" t="n">
        <v>500</v>
      </c>
      <c r="D20" s="19" t="inlineStr">
        <is>
          <t>Office build-out</t>
        </is>
      </c>
    </row>
    <row r="21">
      <c r="B21" s="6" t="inlineStr">
        <is>
          <t>Contingency (15%)</t>
        </is>
      </c>
      <c r="C21" s="18">
        <f>ROUND(SUM(C6:C20)*0.15,0)</f>
        <v/>
      </c>
      <c r="D21" s="19" t="inlineStr">
        <is>
          <t>15% of the above for unknowns</t>
        </is>
      </c>
    </row>
    <row r="22">
      <c r="B22" s="27" t="inlineStr">
        <is>
          <t>SOLID TOTAL</t>
        </is>
      </c>
      <c r="C22" s="22">
        <f>SUM(C6:C21)</f>
        <v/>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B2:D22"/>
  <sheetViews>
    <sheetView workbookViewId="0">
      <selection activeCell="A1" sqref="A1"/>
    </sheetView>
  </sheetViews>
  <sheetFormatPr baseColWidth="8" defaultRowHeight="15"/>
  <cols>
    <col width="3" customWidth="1" min="1" max="1"/>
    <col width="46" customWidth="1" min="2" max="2"/>
    <col width="16" customWidth="1" min="3" max="3"/>
    <col width="50" customWidth="1" min="4" max="4"/>
  </cols>
  <sheetData>
    <row r="2">
      <c r="B2" s="1" t="inlineStr">
        <is>
          <t>Startup Capital — Dream Path</t>
        </is>
      </c>
    </row>
    <row r="3">
      <c r="B3" s="2" t="inlineStr">
        <is>
          <t>Purpose-built facility, multiple composters, full mass bay, memorial forest, research suite.</t>
        </is>
      </c>
    </row>
    <row r="5">
      <c r="B5" s="12" t="inlineStr">
        <is>
          <t>Item</t>
        </is>
      </c>
      <c r="C5" s="12" t="inlineStr">
        <is>
          <t>Cost</t>
        </is>
      </c>
      <c r="D5" s="12" t="inlineStr">
        <is>
          <t>Note</t>
        </is>
      </c>
    </row>
    <row r="6">
      <c r="B6" s="6" t="inlineStr">
        <is>
          <t>LLC + licensing + permits</t>
        </is>
      </c>
      <c r="C6" s="25" t="n">
        <v>2500</v>
      </c>
      <c r="D6" s="19" t="inlineStr">
        <is>
          <t>Regulatory baseline</t>
        </is>
      </c>
    </row>
    <row r="7">
      <c r="B7" s="6" t="inlineStr">
        <is>
          <t>Insurance (year 1)</t>
        </is>
      </c>
      <c r="C7" s="26" t="n">
        <v>3500</v>
      </c>
      <c r="D7" s="19" t="inlineStr">
        <is>
          <t>Expanded coverage. NEEDS RESEARCH.</t>
        </is>
      </c>
    </row>
    <row r="8">
      <c r="B8" s="6" t="inlineStr">
        <is>
          <t>Purpose-built facility (modular)</t>
        </is>
      </c>
      <c r="C8" s="26" t="n">
        <v>48000</v>
      </c>
      <c r="D8" s="19" t="inlineStr">
        <is>
          <t>Slab + modular building. NEEDS RESEARCH.</t>
        </is>
      </c>
    </row>
    <row r="9">
      <c r="B9" s="6" t="inlineStr">
        <is>
          <t>Site prep, utilities, drainage</t>
        </is>
      </c>
      <c r="C9" s="26" t="n">
        <v>9000</v>
      </c>
      <c r="D9" s="19" t="inlineStr">
        <is>
          <t>Power, water, septic, grading. NEEDS RESEARCH.</t>
        </is>
      </c>
    </row>
    <row r="10">
      <c r="B10" s="6" t="inlineStr">
        <is>
          <t>Commercial composter array (Line 2, qty 3)</t>
        </is>
      </c>
      <c r="C10" s="26" t="n">
        <v>13000</v>
      </c>
      <c r="D10" s="19" t="inlineStr">
        <is>
          <t>Three units for higher private throughput</t>
        </is>
      </c>
    </row>
    <row r="11">
      <c r="B11" s="6" t="inlineStr">
        <is>
          <t>Full mass composting bay (Line 3)</t>
        </is>
      </c>
      <c r="C11" s="26" t="n">
        <v>11000</v>
      </c>
      <c r="D11" s="19" t="inlineStr">
        <is>
          <t>Finished walled bay with airflow and instrumentation</t>
        </is>
      </c>
    </row>
    <row r="12">
      <c r="B12" s="6" t="inlineStr">
        <is>
          <t>Walk-in cold storage (CoolBot, larger build)</t>
        </is>
      </c>
      <c r="C12" s="25" t="n">
        <v>6500</v>
      </c>
      <c r="D12" s="19" t="inlineStr">
        <is>
          <t>Upgraded CoolBot walk-in for higher volume, 10'x12'</t>
        </is>
      </c>
    </row>
    <row r="13">
      <c r="B13" s="6" t="inlineStr">
        <is>
          <t>Pan granulator (production tier)</t>
        </is>
      </c>
      <c r="C13" s="26" t="n">
        <v>5000</v>
      </c>
      <c r="D13" s="19" t="inlineStr">
        <is>
          <t>Scaled-up from bench. Researched: lab-grade unit is $1,000–$1,350; production tier est. 3–4x.</t>
        </is>
      </c>
    </row>
    <row r="14">
      <c r="B14" s="6" t="inlineStr">
        <is>
          <t>Marble Method studio build-out</t>
        </is>
      </c>
      <c r="C14" s="25" t="n">
        <v>3500</v>
      </c>
      <c r="D14" s="19" t="inlineStr">
        <is>
          <t>Wet bench with ventilation + cement studio</t>
        </is>
      </c>
    </row>
    <row r="15">
      <c r="B15" s="6" t="inlineStr">
        <is>
          <t>Memorial forest site prep (2 acres)</t>
        </is>
      </c>
      <c r="C15" s="26" t="n">
        <v>5000</v>
      </c>
      <c r="D15" s="19" t="inlineStr">
        <is>
          <t>Land prep + initial plantings. NEEDS RESEARCH.</t>
        </is>
      </c>
    </row>
    <row r="16">
      <c r="B16" s="6" t="inlineStr">
        <is>
          <t>Intake kits (initial stock of 60)</t>
        </is>
      </c>
      <c r="C16" s="25" t="n">
        <v>2400</v>
      </c>
      <c r="D16" s="19" t="inlineStr">
        <is>
          <t>Larger opening stock</t>
        </is>
      </c>
    </row>
    <row r="17">
      <c r="B17" s="6" t="inlineStr">
        <is>
          <t>Vehicle (used van for pickups)</t>
        </is>
      </c>
      <c r="C17" s="25" t="n">
        <v>9000</v>
      </c>
      <c r="D17" s="19" t="inlineStr">
        <is>
          <t>Used fleet van</t>
        </is>
      </c>
    </row>
    <row r="18">
      <c r="B18" s="6" t="inlineStr">
        <is>
          <t>Front-of-house intake room</t>
        </is>
      </c>
      <c r="C18" s="25" t="n">
        <v>4500</v>
      </c>
      <c r="D18" s="19" t="inlineStr">
        <is>
          <t>Small, dignified client meeting space</t>
        </is>
      </c>
    </row>
    <row r="19">
      <c r="B19" s="6" t="inlineStr">
        <is>
          <t>Research-partner workroom (Line 4)</t>
        </is>
      </c>
      <c r="C19" s="25" t="n">
        <v>3000</v>
      </c>
      <c r="D19" s="19" t="inlineStr">
        <is>
          <t>Dedicated space for partner sampling + data</t>
        </is>
      </c>
    </row>
    <row r="20">
      <c r="B20" s="6" t="inlineStr">
        <is>
          <t>Tools, scales, documentation system</t>
        </is>
      </c>
      <c r="C20" s="25" t="n">
        <v>1500</v>
      </c>
      <c r="D20" s="19" t="inlineStr">
        <is>
          <t>Finished version</t>
        </is>
      </c>
    </row>
    <row r="21">
      <c r="B21" s="6" t="inlineStr">
        <is>
          <t>Contingency (15%)</t>
        </is>
      </c>
      <c r="C21" s="18">
        <f>ROUND(SUM(C6:C20)*0.15,0)</f>
        <v/>
      </c>
      <c r="D21" s="19" t="inlineStr">
        <is>
          <t>15% of the above</t>
        </is>
      </c>
    </row>
    <row r="22">
      <c r="B22" s="27" t="inlineStr">
        <is>
          <t>DREAM TOTAL</t>
        </is>
      </c>
      <c r="C22" s="22">
        <f>SUM(C6:C21)</f>
        <v/>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B2:F39"/>
  <sheetViews>
    <sheetView workbookViewId="0">
      <selection activeCell="A1" sqref="A1"/>
    </sheetView>
  </sheetViews>
  <sheetFormatPr baseColWidth="8" defaultRowHeight="15"/>
  <cols>
    <col width="3" customWidth="1" min="1" max="1"/>
    <col width="38" customWidth="1" min="2" max="2"/>
    <col width="16" customWidth="1" min="3" max="3"/>
    <col width="16" customWidth="1" min="4" max="4"/>
    <col width="16" customWidth="1" min="5" max="5"/>
    <col width="40" customWidth="1" min="6" max="6"/>
  </cols>
  <sheetData>
    <row r="2">
      <c r="B2" s="1" t="inlineStr">
        <is>
          <t>Three-Year Profit &amp; Loss Projection</t>
        </is>
      </c>
    </row>
    <row r="3">
      <c r="B3" s="2" t="inlineStr">
        <is>
          <t>All values flow from Assumptions. Change inputs there to re-run.</t>
        </is>
      </c>
    </row>
    <row r="5">
      <c r="B5" s="12" t="inlineStr">
        <is>
          <t>Line</t>
        </is>
      </c>
      <c r="C5" s="12" t="inlineStr">
        <is>
          <t>Year 1</t>
        </is>
      </c>
      <c r="D5" s="12" t="inlineStr">
        <is>
          <t>Year 2</t>
        </is>
      </c>
      <c r="E5" s="12" t="inlineStr">
        <is>
          <t>Year 3</t>
        </is>
      </c>
      <c r="F5" s="12" t="inlineStr">
        <is>
          <t>Note</t>
        </is>
      </c>
    </row>
    <row r="6">
      <c r="B6" s="5" t="inlineStr">
        <is>
          <t>REVENUE</t>
        </is>
      </c>
    </row>
    <row r="7">
      <c r="B7" s="6" t="inlineStr">
        <is>
          <t>Line 1 — Marbled Stones</t>
        </is>
      </c>
      <c r="C7" s="18">
        <f>Assumptions!$C$13*Assumptions!$C$8*12</f>
        <v/>
      </c>
      <c r="D7" s="18">
        <f>Assumptions!$C$14*Assumptions!$C$8*12</f>
        <v/>
      </c>
      <c r="E7" s="18">
        <f>Assumptions!$C$15*Assumptions!$C$8*12</f>
        <v/>
      </c>
    </row>
    <row r="8">
      <c r="B8" s="6" t="inlineStr">
        <is>
          <t>Line 2 — Private Soil</t>
        </is>
      </c>
      <c r="C8" s="18">
        <f>Assumptions!$C$30*(Assumptions!$C$26*Assumptions!$C$18+Assumptions!$C$27*Assumptions!$C$19+Assumptions!$C$28*Assumptions!$C$20+Assumptions!$C$29*Assumptions!$C$21)*12</f>
        <v/>
      </c>
      <c r="D8" s="18">
        <f>Assumptions!$C$31*(Assumptions!$C$26*Assumptions!$C$18+Assumptions!$C$27*Assumptions!$C$19+Assumptions!$C$28*Assumptions!$C$20+Assumptions!$C$29*Assumptions!$C$21)*12</f>
        <v/>
      </c>
      <c r="E8" s="18">
        <f>Assumptions!$C$32*(Assumptions!$C$26*Assumptions!$C$18+Assumptions!$C$27*Assumptions!$C$19+Assumptions!$C$28*Assumptions!$C$20+Assumptions!$C$29*Assumptions!$C$21)*12</f>
        <v/>
      </c>
    </row>
    <row r="9">
      <c r="B9" s="6" t="inlineStr">
        <is>
          <t>Line 3 — Shelter Program</t>
        </is>
      </c>
      <c r="C9" s="18">
        <f>Assumptions!$C$36*Assumptions!$C$35*12+Assumptions!$C$42*Assumptions!$C$40*12</f>
        <v/>
      </c>
      <c r="D9" s="18">
        <f>Assumptions!$C$37*Assumptions!$C$35*12+Assumptions!$C$43*Assumptions!$C$40*12</f>
        <v/>
      </c>
      <c r="E9" s="18">
        <f>Assumptions!$C$38*Assumptions!$C$35*12+Assumptions!$C$44*Assumptions!$C$40*12</f>
        <v/>
      </c>
    </row>
    <row r="10">
      <c r="B10" s="6" t="inlineStr">
        <is>
          <t>Line 4 — Research</t>
        </is>
      </c>
      <c r="C10" s="18">
        <f>Assumptions!$C$47*Assumptions!$C$50</f>
        <v/>
      </c>
      <c r="D10" s="18">
        <f>Assumptions!$C$48*Assumptions!$C$50</f>
        <v/>
      </c>
      <c r="E10" s="18">
        <f>Assumptions!$C$49*Assumptions!$C$50</f>
        <v/>
      </c>
    </row>
    <row r="11">
      <c r="B11" s="5" t="inlineStr">
        <is>
          <t>Total revenue</t>
        </is>
      </c>
      <c r="C11" s="22">
        <f>SUM(C7:C10)</f>
        <v/>
      </c>
      <c r="D11" s="22">
        <f>SUM(D7:D10)</f>
        <v/>
      </c>
      <c r="E11" s="22">
        <f>SUM(E7:E10)</f>
        <v/>
      </c>
    </row>
    <row r="13">
      <c r="B13" s="5" t="inlineStr">
        <is>
          <t>COGS</t>
        </is>
      </c>
    </row>
    <row r="14">
      <c r="B14" s="6" t="inlineStr">
        <is>
          <t>Line 1 COGS</t>
        </is>
      </c>
      <c r="C14" s="18">
        <f>Assumptions!$C$13*Assumptions!$C$12*12</f>
        <v/>
      </c>
      <c r="D14" s="18">
        <f>Assumptions!$C$14*Assumptions!$C$12*12</f>
        <v/>
      </c>
      <c r="E14" s="18">
        <f>Assumptions!$C$15*Assumptions!$C$12*12</f>
        <v/>
      </c>
    </row>
    <row r="15">
      <c r="B15" s="6" t="inlineStr">
        <is>
          <t>Line 2 COGS</t>
        </is>
      </c>
      <c r="C15" s="18">
        <f>Assumptions!$C$30*(Assumptions!$C$26*Assumptions!$C$22+Assumptions!$C$27*Assumptions!$C$23+Assumptions!$C$28*Assumptions!$C$24+Assumptions!$C$29*Assumptions!$C$25)*12</f>
        <v/>
      </c>
      <c r="D15" s="18">
        <f>Assumptions!$C$31*(Assumptions!$C$26*Assumptions!$C$22+Assumptions!$C$27*Assumptions!$C$23+Assumptions!$C$28*Assumptions!$C$24+Assumptions!$C$29*Assumptions!$C$25)*12</f>
        <v/>
      </c>
      <c r="E15" s="18">
        <f>Assumptions!$C$32*(Assumptions!$C$26*Assumptions!$C$22+Assumptions!$C$27*Assumptions!$C$23+Assumptions!$C$28*Assumptions!$C$24+Assumptions!$C$29*Assumptions!$C$25)*12</f>
        <v/>
      </c>
    </row>
    <row r="16">
      <c r="B16" s="6" t="inlineStr">
        <is>
          <t>Line 3 COGS</t>
        </is>
      </c>
      <c r="C16" s="18">
        <f>Assumptions!$C$36*Assumptions!$C$39*12+Assumptions!$C$42*Assumptions!$C$41*12</f>
        <v/>
      </c>
      <c r="D16" s="18">
        <f>Assumptions!$C$37*Assumptions!$C$39*12+Assumptions!$C$43*Assumptions!$C$41*12</f>
        <v/>
      </c>
      <c r="E16" s="18">
        <f>Assumptions!$C$38*Assumptions!$C$39*12+Assumptions!$C$44*Assumptions!$C$41*12</f>
        <v/>
      </c>
    </row>
    <row r="17">
      <c r="B17" s="6" t="inlineStr">
        <is>
          <t>Line 4 COGS</t>
        </is>
      </c>
      <c r="C17" s="18">
        <f>Assumptions!$C$47*Assumptions!$C$51</f>
        <v/>
      </c>
      <c r="D17" s="18">
        <f>Assumptions!$C$48*Assumptions!$C$51</f>
        <v/>
      </c>
      <c r="E17" s="18">
        <f>Assumptions!$C$49*Assumptions!$C$51</f>
        <v/>
      </c>
    </row>
    <row r="18">
      <c r="B18" s="5" t="inlineStr">
        <is>
          <t>Total COGS</t>
        </is>
      </c>
      <c r="C18" s="22">
        <f>SUM(C14:C17)</f>
        <v/>
      </c>
      <c r="D18" s="22">
        <f>SUM(D14:D17)</f>
        <v/>
      </c>
      <c r="E18" s="22">
        <f>SUM(E14:E17)</f>
        <v/>
      </c>
    </row>
    <row r="20">
      <c r="B20" s="5" t="inlineStr">
        <is>
          <t>Gross profit</t>
        </is>
      </c>
      <c r="C20" s="28">
        <f>C11-C18</f>
        <v/>
      </c>
      <c r="D20" s="28">
        <f>D11-D18</f>
        <v/>
      </c>
      <c r="E20" s="28">
        <f>E11-E18</f>
        <v/>
      </c>
    </row>
    <row r="21">
      <c r="B21" s="6" t="inlineStr">
        <is>
          <t>Gross margin %</t>
        </is>
      </c>
      <c r="C21" s="21">
        <f>IFERROR(C20/C11,0)</f>
        <v/>
      </c>
      <c r="D21" s="21">
        <f>IFERROR(D20/D11,0)</f>
        <v/>
      </c>
      <c r="E21" s="21">
        <f>IFERROR(E20/E11,0)</f>
        <v/>
      </c>
    </row>
    <row r="23">
      <c r="B23" s="5" t="inlineStr">
        <is>
          <t>OPERATING EXPENSES</t>
        </is>
      </c>
    </row>
    <row r="24">
      <c r="B24" s="6" t="inlineStr">
        <is>
          <t>Rent / mortgage</t>
        </is>
      </c>
      <c r="C24" s="18">
        <f>Assumptions!$C$54*12</f>
        <v/>
      </c>
      <c r="D24" s="18">
        <f>Assumptions!$C$54*12</f>
        <v/>
      </c>
      <c r="E24" s="18">
        <f>Assumptions!$C$54*12</f>
        <v/>
      </c>
    </row>
    <row r="25">
      <c r="B25" s="6" t="inlineStr">
        <is>
          <t>Utilities</t>
        </is>
      </c>
      <c r="C25" s="18">
        <f>Assumptions!$C$55*12</f>
        <v/>
      </c>
      <c r="D25" s="18">
        <f>Assumptions!$C$55*12</f>
        <v/>
      </c>
      <c r="E25" s="18">
        <f>Assumptions!$C$55*12</f>
        <v/>
      </c>
    </row>
    <row r="26">
      <c r="B26" s="6" t="inlineStr">
        <is>
          <t>Insurance</t>
        </is>
      </c>
      <c r="C26" s="18">
        <f>Assumptions!$C$56*12</f>
        <v/>
      </c>
      <c r="D26" s="18">
        <f>Assumptions!$C$56*12</f>
        <v/>
      </c>
      <c r="E26" s="18">
        <f>Assumptions!$C$56*12</f>
        <v/>
      </c>
    </row>
    <row r="27">
      <c r="B27" s="6" t="inlineStr">
        <is>
          <t>Compliance / permits</t>
        </is>
      </c>
      <c r="C27" s="18">
        <f>Assumptions!$C$57*12</f>
        <v/>
      </c>
      <c r="D27" s="18">
        <f>Assumptions!$C$57*12</f>
        <v/>
      </c>
      <c r="E27" s="18">
        <f>Assumptions!$C$57*12</f>
        <v/>
      </c>
    </row>
    <row r="28">
      <c r="B28" s="6" t="inlineStr">
        <is>
          <t>Supplies</t>
        </is>
      </c>
      <c r="C28" s="18">
        <f>Assumptions!$C$58*12</f>
        <v/>
      </c>
      <c r="D28" s="18">
        <f>Assumptions!$C$58*12</f>
        <v/>
      </c>
      <c r="E28" s="18">
        <f>Assumptions!$C$58*12</f>
        <v/>
      </c>
    </row>
    <row r="29">
      <c r="B29" s="6" t="inlineStr">
        <is>
          <t>Transport / fuel</t>
        </is>
      </c>
      <c r="C29" s="18">
        <f>Assumptions!$C$59*12</f>
        <v/>
      </c>
      <c r="D29" s="18">
        <f>Assumptions!$C$59*12</f>
        <v/>
      </c>
      <c r="E29" s="18">
        <f>Assumptions!$C$59*12</f>
        <v/>
      </c>
    </row>
    <row r="30">
      <c r="B30" s="6" t="inlineStr">
        <is>
          <t>Website / software</t>
        </is>
      </c>
      <c r="C30" s="18">
        <f>Assumptions!$C$60*12</f>
        <v/>
      </c>
      <c r="D30" s="18">
        <f>Assumptions!$C$60*12</f>
        <v/>
      </c>
      <c r="E30" s="18">
        <f>Assumptions!$C$60*12</f>
        <v/>
      </c>
    </row>
    <row r="31">
      <c r="B31" s="6" t="inlineStr">
        <is>
          <t>Founder draw</t>
        </is>
      </c>
      <c r="C31" s="18">
        <f>Assumptions!$C$61*12</f>
        <v/>
      </c>
      <c r="D31" s="18">
        <f>Assumptions!$C$61*12</f>
        <v/>
      </c>
      <c r="E31" s="18">
        <f>Assumptions!$C$61*12</f>
        <v/>
      </c>
    </row>
    <row r="32">
      <c r="B32" s="6" t="inlineStr">
        <is>
          <t>Marketing (Yr 2+)</t>
        </is>
      </c>
      <c r="C32" s="25" t="n">
        <v>0</v>
      </c>
      <c r="D32" s="18">
        <f>Assumptions!$C$62*12</f>
        <v/>
      </c>
      <c r="E32" s="18">
        <f>Assumptions!$C$62*12</f>
        <v/>
      </c>
    </row>
    <row r="33">
      <c r="B33" s="5" t="inlineStr">
        <is>
          <t>Total operating expenses</t>
        </is>
      </c>
      <c r="C33" s="22">
        <f>SUM(C24:C32)</f>
        <v/>
      </c>
      <c r="D33" s="22">
        <f>SUM(D24:D32)</f>
        <v/>
      </c>
      <c r="E33" s="22">
        <f>SUM(E24:E32)</f>
        <v/>
      </c>
    </row>
    <row r="35">
      <c r="B35" s="5" t="inlineStr">
        <is>
          <t>EBITDA (pre-tax)</t>
        </is>
      </c>
      <c r="C35" s="28">
        <f>C20-C33</f>
        <v/>
      </c>
      <c r="D35" s="28">
        <f>D20-D33</f>
        <v/>
      </c>
      <c r="E35" s="28">
        <f>E20-E33</f>
        <v/>
      </c>
    </row>
    <row r="36">
      <c r="B36" s="6" t="inlineStr">
        <is>
          <t>Tax provision</t>
        </is>
      </c>
      <c r="C36" s="18">
        <f>MAX(0,C35)*Assumptions!$C$65</f>
        <v/>
      </c>
      <c r="D36" s="18">
        <f>MAX(0,D35)*Assumptions!$C$65</f>
        <v/>
      </c>
      <c r="E36" s="18">
        <f>MAX(0,E35)*Assumptions!$C$65</f>
        <v/>
      </c>
    </row>
    <row r="37">
      <c r="B37" s="5" t="inlineStr">
        <is>
          <t>Net profit</t>
        </is>
      </c>
      <c r="C37" s="22">
        <f>C35-C36</f>
        <v/>
      </c>
      <c r="D37" s="22">
        <f>D35-D36</f>
        <v/>
      </c>
      <c r="E37" s="22">
        <f>E35-E36</f>
        <v/>
      </c>
    </row>
    <row r="39" ht="36" customHeight="1">
      <c r="B39" s="23" t="inlineStr">
        <is>
          <t>Conservative placeholder projection. Year 1 assumes quiet launch, a shelter pilot, and no marketing spend. Year 2 and Year 3 assume gradual growth across all four lines. All inputs are open to research and revision.</t>
        </is>
      </c>
    </row>
  </sheetData>
  <mergeCells count="1">
    <mergeCell ref="B39:F39"/>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2026-04-12T17:01:47Z</dcterms:created>
  <dcterms:modified xmlns:dcterms="http://purl.org/dc/terms/" xmlns:xsi="http://www.w3.org/2001/XMLSchema-instance" xsi:type="dcterms:W3CDTF">2026-04-12T17:01:47Z</dcterms:modified>
</cp:coreProperties>
</file>